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xr:revisionPtr revIDLastSave="0" documentId="8_{EDDFE24B-EE21-0F41-91B4-B9F7FEE61258}" xr6:coauthVersionLast="47" xr6:coauthVersionMax="47" xr10:uidLastSave="{00000000-0000-0000-0000-000000000000}"/>
  <bookViews>
    <workbookView xWindow="3240" yWindow="285" windowWidth="13485" windowHeight="7980" firstSheet="2" activeTab="2" xr2:uid="{00000000-000D-0000-FFFF-FFFF00000000}"/>
  </bookViews>
  <sheets>
    <sheet name="Карта резки" sheetId="3" state="hidden" r:id="rId1"/>
    <sheet name="Накладная" sheetId="4" state="hidden" r:id="rId2"/>
    <sheet name="Поддон" sheetId="5" r:id="rId3"/>
    <sheet name="Лист2" sheetId="6" state="hidden" r:id="rId4"/>
    <sheet name="Лист3" sheetId="7" state="hidden" r:id="rId5"/>
  </sheets>
  <externalReferences>
    <externalReference r:id="rId6"/>
  </externalReferences>
  <definedNames>
    <definedName name="год">[1]Лист1!$X$73:$X$75</definedName>
    <definedName name="кладовщик">[1]Лист1!$X$16:$X$25</definedName>
    <definedName name="мастера">[1]Лист1!$U$16:$U$25</definedName>
    <definedName name="месяц">[1]Лист1!$V$73:$V$84</definedName>
    <definedName name="числа">[1]Лист1!$T$73:$T$113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7" i="5" l="1"/>
  <c r="V17" i="5"/>
  <c r="T17" i="5"/>
  <c r="O17" i="5"/>
  <c r="P17" i="5"/>
  <c r="Q17" i="5"/>
  <c r="J17" i="5"/>
  <c r="K17" i="5"/>
  <c r="L17" i="5"/>
  <c r="T16" i="5"/>
  <c r="U16" i="5"/>
  <c r="V16" i="5"/>
  <c r="O16" i="5"/>
  <c r="P16" i="5"/>
  <c r="Q16" i="5"/>
  <c r="J16" i="5"/>
  <c r="K16" i="5"/>
  <c r="L16" i="5"/>
  <c r="E91" i="6"/>
  <c r="E85" i="6"/>
  <c r="F85" i="6"/>
  <c r="E84" i="6"/>
  <c r="F84" i="6"/>
  <c r="F92" i="6"/>
  <c r="F91" i="6"/>
  <c r="E90" i="6"/>
  <c r="F90" i="6"/>
  <c r="E89" i="6"/>
  <c r="F89" i="6"/>
  <c r="E88" i="6"/>
  <c r="F88" i="6"/>
  <c r="E87" i="6"/>
  <c r="F87" i="6"/>
  <c r="E86" i="6"/>
  <c r="F86" i="6"/>
  <c r="E83" i="6"/>
  <c r="F83" i="6"/>
  <c r="E82" i="6"/>
  <c r="F82" i="6"/>
  <c r="E81" i="6"/>
  <c r="F81" i="6"/>
  <c r="E80" i="6"/>
  <c r="F80" i="6"/>
  <c r="E79" i="6"/>
  <c r="F79" i="6"/>
  <c r="E78" i="6"/>
  <c r="F78" i="6"/>
  <c r="E77" i="6"/>
  <c r="F77" i="6"/>
  <c r="E76" i="6"/>
  <c r="F76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E65" i="6"/>
  <c r="F65" i="6"/>
  <c r="E64" i="6"/>
  <c r="F64" i="6"/>
  <c r="E63" i="6"/>
  <c r="F63" i="6"/>
  <c r="E62" i="6"/>
  <c r="F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E52" i="6"/>
  <c r="F52" i="6"/>
  <c r="E51" i="6"/>
  <c r="F51" i="6"/>
  <c r="E50" i="6"/>
  <c r="F50" i="6"/>
  <c r="E49" i="6"/>
  <c r="F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E39" i="6"/>
  <c r="F39" i="6"/>
  <c r="E38" i="6"/>
  <c r="F38" i="6"/>
  <c r="E37" i="6"/>
  <c r="F37" i="6"/>
  <c r="E36" i="6"/>
  <c r="F36" i="6"/>
  <c r="E35" i="6"/>
  <c r="F35" i="6"/>
  <c r="E34" i="6"/>
  <c r="F34" i="6"/>
  <c r="E33" i="6"/>
  <c r="F33" i="6"/>
  <c r="E32" i="6"/>
  <c r="F32" i="6"/>
  <c r="E31" i="6"/>
  <c r="F31" i="6"/>
  <c r="E30" i="6"/>
  <c r="F30" i="6"/>
  <c r="E29" i="6"/>
  <c r="F29" i="6"/>
  <c r="E28" i="6"/>
  <c r="F28" i="6"/>
  <c r="E27" i="6"/>
  <c r="F27" i="6"/>
  <c r="E26" i="6"/>
  <c r="F26" i="6"/>
  <c r="E25" i="6"/>
  <c r="F25" i="6"/>
  <c r="E24" i="6"/>
  <c r="F24" i="6"/>
  <c r="E23" i="6"/>
  <c r="F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3" i="6"/>
  <c r="F13" i="6"/>
  <c r="E12" i="6"/>
  <c r="F12" i="6"/>
  <c r="E11" i="6"/>
  <c r="F11" i="6"/>
  <c r="E10" i="6"/>
  <c r="F10" i="6"/>
  <c r="E9" i="6"/>
  <c r="F9" i="6"/>
  <c r="E8" i="6"/>
  <c r="F8" i="6"/>
  <c r="E7" i="6"/>
  <c r="F7" i="6"/>
  <c r="E6" i="6"/>
  <c r="F6" i="6"/>
  <c r="E5" i="6"/>
  <c r="F5" i="6"/>
  <c r="E4" i="6"/>
  <c r="F4" i="6"/>
  <c r="G4" i="6"/>
  <c r="G10" i="6"/>
  <c r="H11" i="6"/>
  <c r="G12" i="6"/>
  <c r="G26" i="6"/>
  <c r="H27" i="6"/>
  <c r="G34" i="6"/>
  <c r="H35" i="6"/>
  <c r="G50" i="6"/>
  <c r="H51" i="6"/>
  <c r="G58" i="6"/>
  <c r="H59" i="6"/>
  <c r="G76" i="6"/>
  <c r="G90" i="6"/>
  <c r="H91" i="6"/>
  <c r="G82" i="6"/>
  <c r="H83" i="6"/>
  <c r="G18" i="6"/>
  <c r="H19" i="6"/>
  <c r="G42" i="6"/>
  <c r="H43" i="6"/>
  <c r="G66" i="6"/>
  <c r="H67" i="6"/>
  <c r="G20" i="6"/>
  <c r="G84" i="6"/>
  <c r="H85" i="6"/>
  <c r="G28" i="6"/>
  <c r="H28" i="6"/>
  <c r="G38" i="6"/>
  <c r="H38" i="6"/>
  <c r="G44" i="6"/>
  <c r="H44" i="6"/>
  <c r="G54" i="6"/>
  <c r="H54" i="6"/>
  <c r="G60" i="6"/>
  <c r="H60" i="6"/>
  <c r="G70" i="6"/>
  <c r="H70" i="6"/>
  <c r="H4" i="6"/>
  <c r="H5" i="6"/>
  <c r="G6" i="6"/>
  <c r="H7" i="6"/>
  <c r="G8" i="6"/>
  <c r="H8" i="6"/>
  <c r="H10" i="6"/>
  <c r="H12" i="6"/>
  <c r="H13" i="6"/>
  <c r="G14" i="6"/>
  <c r="H15" i="6"/>
  <c r="G16" i="6"/>
  <c r="H16" i="6"/>
  <c r="H18" i="6"/>
  <c r="H20" i="6"/>
  <c r="H21" i="6"/>
  <c r="G22" i="6"/>
  <c r="H23" i="6"/>
  <c r="G24" i="6"/>
  <c r="H24" i="6"/>
  <c r="G30" i="6"/>
  <c r="H30" i="6"/>
  <c r="G36" i="6"/>
  <c r="H36" i="6"/>
  <c r="G46" i="6"/>
  <c r="H46" i="6"/>
  <c r="G52" i="6"/>
  <c r="H52" i="6"/>
  <c r="G62" i="6"/>
  <c r="H62" i="6"/>
  <c r="G68" i="6"/>
  <c r="H68" i="6"/>
  <c r="H92" i="6"/>
  <c r="H26" i="6"/>
  <c r="H29" i="6"/>
  <c r="G32" i="6"/>
  <c r="H32" i="6"/>
  <c r="H34" i="6"/>
  <c r="G40" i="6"/>
  <c r="H40" i="6"/>
  <c r="H42" i="6"/>
  <c r="H45" i="6"/>
  <c r="G48" i="6"/>
  <c r="H48" i="6"/>
  <c r="H50" i="6"/>
  <c r="H53" i="6"/>
  <c r="G56" i="6"/>
  <c r="H56" i="6"/>
  <c r="H58" i="6"/>
  <c r="H61" i="6"/>
  <c r="G64" i="6"/>
  <c r="H64" i="6"/>
  <c r="H66" i="6"/>
  <c r="G72" i="6"/>
  <c r="H72" i="6"/>
  <c r="H76" i="6"/>
  <c r="H77" i="6"/>
  <c r="G78" i="6"/>
  <c r="H79" i="6"/>
  <c r="G80" i="6"/>
  <c r="H80" i="6"/>
  <c r="G86" i="6"/>
  <c r="H87" i="6"/>
  <c r="G88" i="6"/>
  <c r="H88" i="6"/>
  <c r="H90" i="6"/>
  <c r="H82" i="6"/>
  <c r="H84" i="6"/>
  <c r="H71" i="6"/>
  <c r="H55" i="6"/>
  <c r="H37" i="6"/>
  <c r="H69" i="6"/>
  <c r="H39" i="6"/>
  <c r="H86" i="6"/>
  <c r="H78" i="6"/>
  <c r="H63" i="6"/>
  <c r="H47" i="6"/>
  <c r="H31" i="6"/>
  <c r="H22" i="6"/>
  <c r="H14" i="6"/>
  <c r="H6" i="6"/>
  <c r="H89" i="6"/>
  <c r="H81" i="6"/>
  <c r="H65" i="6"/>
  <c r="H49" i="6"/>
  <c r="H33" i="6"/>
  <c r="H73" i="6"/>
  <c r="H57" i="6"/>
  <c r="H41" i="6"/>
  <c r="H25" i="6"/>
  <c r="H17" i="6"/>
  <c r="H9" i="6"/>
  <c r="U10" i="5"/>
  <c r="Z22" i="5"/>
  <c r="AA22" i="5"/>
  <c r="Y22" i="5"/>
  <c r="P22" i="5"/>
  <c r="Q22" i="5"/>
  <c r="O22" i="5"/>
  <c r="K22" i="5"/>
  <c r="L22" i="5"/>
  <c r="J22" i="5"/>
  <c r="Z21" i="5"/>
  <c r="AA21" i="5"/>
  <c r="Y21" i="5"/>
  <c r="P21" i="5"/>
  <c r="Q21" i="5"/>
  <c r="K21" i="5"/>
  <c r="L21" i="5"/>
  <c r="J21" i="5"/>
  <c r="Z20" i="5"/>
  <c r="AA20" i="5"/>
  <c r="Y20" i="5"/>
  <c r="P20" i="5"/>
  <c r="Q20" i="5"/>
  <c r="O20" i="5"/>
  <c r="K20" i="5"/>
  <c r="L20" i="5"/>
  <c r="J20" i="5"/>
  <c r="U19" i="5"/>
  <c r="V19" i="5"/>
  <c r="T19" i="5"/>
  <c r="P19" i="5"/>
  <c r="Q19" i="5"/>
  <c r="O19" i="5"/>
  <c r="U18" i="5"/>
  <c r="V18" i="5"/>
  <c r="T18" i="5"/>
  <c r="P18" i="5"/>
  <c r="Q18" i="5"/>
  <c r="O18" i="5"/>
  <c r="K18" i="5"/>
  <c r="L18" i="5"/>
  <c r="J18" i="5"/>
  <c r="U15" i="5"/>
  <c r="V15" i="5"/>
  <c r="T15" i="5"/>
  <c r="P15" i="5"/>
  <c r="Q15" i="5"/>
  <c r="O15" i="5"/>
  <c r="K15" i="5"/>
  <c r="L15" i="5"/>
  <c r="J15" i="5"/>
  <c r="Z14" i="5"/>
  <c r="AA14" i="5"/>
  <c r="Y14" i="5"/>
  <c r="K14" i="5"/>
  <c r="L14" i="5"/>
  <c r="J14" i="5"/>
  <c r="Z13" i="5"/>
  <c r="AA13" i="5"/>
  <c r="Y13" i="5"/>
  <c r="P13" i="5"/>
  <c r="Q13" i="5"/>
  <c r="O13" i="5"/>
  <c r="K13" i="5"/>
  <c r="L13" i="5"/>
  <c r="J13" i="5"/>
  <c r="Z12" i="5"/>
  <c r="AA12" i="5"/>
  <c r="Y12" i="5"/>
  <c r="P12" i="5"/>
  <c r="Q12" i="5"/>
  <c r="O12" i="5"/>
  <c r="K12" i="5"/>
  <c r="L12" i="5"/>
  <c r="J12" i="5"/>
  <c r="Z11" i="5"/>
  <c r="AA11" i="5"/>
  <c r="Y11" i="5"/>
  <c r="P11" i="5"/>
  <c r="Q11" i="5"/>
  <c r="O11" i="5"/>
  <c r="K11" i="5"/>
  <c r="L11" i="5"/>
  <c r="J11" i="5"/>
  <c r="Z10" i="5"/>
  <c r="AA10" i="5"/>
  <c r="Y10" i="5"/>
  <c r="K10" i="5"/>
  <c r="L10" i="5"/>
  <c r="J10" i="5"/>
  <c r="Z9" i="5"/>
  <c r="AA9" i="5"/>
  <c r="Y9" i="5"/>
  <c r="U9" i="5"/>
  <c r="V9" i="5"/>
  <c r="T9" i="5"/>
  <c r="P9" i="5"/>
  <c r="Q9" i="5"/>
  <c r="O9" i="5"/>
  <c r="K9" i="5"/>
  <c r="L9" i="5"/>
  <c r="J9" i="5"/>
  <c r="Z8" i="5"/>
  <c r="AA8" i="5"/>
  <c r="Y8" i="5"/>
  <c r="U8" i="5"/>
  <c r="V8" i="5"/>
  <c r="T8" i="5"/>
  <c r="P8" i="5"/>
  <c r="Q8" i="5"/>
  <c r="O8" i="5"/>
  <c r="K8" i="5"/>
  <c r="L8" i="5"/>
  <c r="J8" i="5"/>
  <c r="Z7" i="5"/>
  <c r="AA7" i="5"/>
  <c r="Y7" i="5"/>
  <c r="U7" i="5"/>
  <c r="V7" i="5"/>
  <c r="T7" i="5"/>
  <c r="P7" i="5"/>
  <c r="Q7" i="5"/>
  <c r="O7" i="5"/>
  <c r="K7" i="5"/>
  <c r="L7" i="5"/>
  <c r="J7" i="5"/>
  <c r="Z6" i="5"/>
  <c r="AA6" i="5"/>
  <c r="Y6" i="5"/>
  <c r="U6" i="5"/>
  <c r="V6" i="5"/>
  <c r="T6" i="5"/>
  <c r="P6" i="5"/>
  <c r="Q6" i="5"/>
  <c r="O6" i="5"/>
  <c r="K6" i="5"/>
  <c r="L6" i="5"/>
  <c r="J6" i="5"/>
  <c r="R140" i="4"/>
  <c r="R139" i="4"/>
  <c r="R138" i="4"/>
  <c r="R137" i="4"/>
  <c r="R136" i="4"/>
  <c r="R135" i="4"/>
  <c r="R128" i="4"/>
  <c r="R127" i="4"/>
  <c r="O19" i="4"/>
  <c r="H19" i="4"/>
  <c r="R126" i="4"/>
  <c r="R123" i="4"/>
  <c r="R122" i="4"/>
  <c r="R121" i="4"/>
  <c r="O15" i="4"/>
  <c r="H15" i="4"/>
  <c r="R120" i="4"/>
  <c r="R119" i="4"/>
  <c r="R118" i="4"/>
  <c r="R117" i="4"/>
  <c r="R115" i="4"/>
  <c r="R114" i="4"/>
  <c r="R113" i="4"/>
  <c r="R112" i="4"/>
  <c r="R111" i="4"/>
  <c r="O14" i="4"/>
  <c r="H14" i="4"/>
  <c r="H42" i="4"/>
  <c r="R107" i="4"/>
  <c r="R106" i="4"/>
  <c r="R104" i="4"/>
  <c r="R102" i="4"/>
  <c r="R101" i="4"/>
  <c r="R100" i="4"/>
  <c r="R99" i="4"/>
  <c r="R94" i="4"/>
  <c r="R93" i="4"/>
  <c r="R92" i="4"/>
  <c r="R91" i="4"/>
  <c r="R90" i="4"/>
  <c r="R89" i="4"/>
  <c r="R88" i="4"/>
  <c r="R87" i="4"/>
  <c r="R86" i="4"/>
  <c r="R84" i="4"/>
  <c r="R83" i="4"/>
  <c r="R81" i="4"/>
  <c r="R80" i="4"/>
  <c r="R78" i="4"/>
  <c r="R77" i="4"/>
  <c r="R76" i="4"/>
  <c r="R75" i="4"/>
  <c r="R74" i="4"/>
  <c r="I54" i="4"/>
  <c r="G50" i="4"/>
  <c r="E50" i="4"/>
  <c r="D50" i="4"/>
  <c r="C50" i="4"/>
  <c r="G49" i="4"/>
  <c r="E49" i="4"/>
  <c r="D49" i="4"/>
  <c r="C49" i="4"/>
  <c r="G48" i="4"/>
  <c r="E48" i="4"/>
  <c r="D48" i="4"/>
  <c r="C48" i="4"/>
  <c r="G47" i="4"/>
  <c r="E47" i="4"/>
  <c r="D47" i="4"/>
  <c r="C47" i="4"/>
  <c r="G46" i="4"/>
  <c r="E46" i="4"/>
  <c r="D46" i="4"/>
  <c r="C46" i="4"/>
  <c r="G45" i="4"/>
  <c r="E45" i="4"/>
  <c r="D45" i="4"/>
  <c r="C45" i="4"/>
  <c r="G44" i="4"/>
  <c r="E44" i="4"/>
  <c r="D44" i="4"/>
  <c r="C44" i="4"/>
  <c r="G43" i="4"/>
  <c r="E43" i="4"/>
  <c r="D43" i="4"/>
  <c r="C43" i="4"/>
  <c r="G42" i="4"/>
  <c r="E42" i="4"/>
  <c r="D42" i="4"/>
  <c r="C42" i="4"/>
  <c r="D38" i="4"/>
  <c r="D37" i="4"/>
  <c r="I52" i="4"/>
  <c r="F35" i="4"/>
  <c r="E35" i="4"/>
  <c r="D35" i="4"/>
  <c r="C31" i="4"/>
  <c r="C30" i="4"/>
  <c r="I26" i="4"/>
  <c r="I24" i="4"/>
  <c r="E23" i="4"/>
  <c r="E51" i="4"/>
  <c r="O22" i="4"/>
  <c r="H22" i="4"/>
  <c r="A22" i="4"/>
  <c r="A50" i="4"/>
  <c r="O21" i="4"/>
  <c r="H21" i="4"/>
  <c r="I21" i="4"/>
  <c r="I49" i="4"/>
  <c r="A21" i="4"/>
  <c r="A49" i="4"/>
  <c r="O20" i="4"/>
  <c r="H20" i="4"/>
  <c r="H48" i="4"/>
  <c r="A20" i="4"/>
  <c r="A48" i="4"/>
  <c r="A19" i="4"/>
  <c r="A47" i="4"/>
  <c r="O18" i="4"/>
  <c r="H18" i="4"/>
  <c r="H46" i="4"/>
  <c r="A18" i="4"/>
  <c r="A46" i="4"/>
  <c r="O17" i="4"/>
  <c r="H17" i="4"/>
  <c r="H45" i="4"/>
  <c r="A17" i="4"/>
  <c r="A45" i="4"/>
  <c r="O16" i="4"/>
  <c r="H16" i="4"/>
  <c r="H44" i="4"/>
  <c r="A16" i="4"/>
  <c r="A44" i="4"/>
  <c r="A15" i="4"/>
  <c r="A43" i="4"/>
  <c r="A14" i="4"/>
  <c r="A42" i="4"/>
  <c r="H50" i="4"/>
  <c r="I22" i="4"/>
  <c r="I50" i="4"/>
  <c r="H49" i="4"/>
  <c r="I20" i="4"/>
  <c r="I48" i="4"/>
  <c r="I16" i="4"/>
  <c r="I44" i="4"/>
  <c r="I17" i="4"/>
  <c r="I45" i="4"/>
  <c r="I18" i="4"/>
  <c r="I46" i="4"/>
  <c r="I14" i="4"/>
  <c r="I42" i="4"/>
  <c r="H43" i="4"/>
  <c r="I15" i="4"/>
  <c r="I43" i="4"/>
  <c r="H47" i="4"/>
  <c r="I19" i="4"/>
  <c r="I47" i="4"/>
  <c r="H23" i="4"/>
  <c r="H51" i="4"/>
  <c r="I23" i="4"/>
  <c r="I51" i="4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D16" i="3"/>
  <c r="I15" i="3"/>
  <c r="D15" i="3"/>
  <c r="I14" i="3"/>
  <c r="D14" i="3"/>
  <c r="I13" i="3"/>
  <c r="D13" i="3"/>
  <c r="I12" i="3"/>
  <c r="D12" i="3"/>
  <c r="I11" i="3"/>
  <c r="J11" i="3"/>
  <c r="D11" i="3"/>
  <c r="I10" i="3"/>
  <c r="D10" i="3"/>
  <c r="I9" i="3"/>
  <c r="D9" i="3"/>
  <c r="I8" i="3"/>
  <c r="D8" i="3"/>
  <c r="I7" i="3"/>
  <c r="J7" i="3"/>
  <c r="D7" i="3"/>
  <c r="I6" i="3"/>
  <c r="D6" i="3"/>
  <c r="I5" i="3"/>
  <c r="D5" i="3"/>
  <c r="I4" i="3"/>
  <c r="D4" i="3"/>
  <c r="I3" i="3"/>
  <c r="D3" i="3"/>
  <c r="J25" i="3"/>
  <c r="J5" i="3"/>
  <c r="J13" i="3"/>
  <c r="J3" i="3"/>
  <c r="J19" i="3"/>
  <c r="J15" i="3"/>
  <c r="J17" i="3"/>
  <c r="J23" i="3"/>
  <c r="J9" i="3"/>
  <c r="J27" i="3"/>
  <c r="J21" i="3"/>
</calcChain>
</file>

<file path=xl/sharedStrings.xml><?xml version="1.0" encoding="utf-8"?>
<sst xmlns="http://schemas.openxmlformats.org/spreadsheetml/2006/main" count="462" uniqueCount="300">
  <si>
    <t>(1 ряд) 625х300х249</t>
  </si>
  <si>
    <t>625х120х249 (10 рядов)</t>
  </si>
  <si>
    <t>625х300х200 (1 ряд)</t>
  </si>
  <si>
    <t>(3 ряда) 625х400х200</t>
  </si>
  <si>
    <t>625х100х249 (7 рядов)</t>
  </si>
  <si>
    <t>625х100х249 (9 рядов)</t>
  </si>
  <si>
    <t>625х100х200 (1 ряд)</t>
  </si>
  <si>
    <t>625х80х249 (6 рядов)</t>
  </si>
  <si>
    <t>625х150х249 (6 рядов)</t>
  </si>
  <si>
    <t>625х100х249 (3 ряда)</t>
  </si>
  <si>
    <t>(3 ряда) 625х400х249</t>
  </si>
  <si>
    <t xml:space="preserve"> </t>
  </si>
  <si>
    <t>625х240х249 (5 рядов)</t>
  </si>
  <si>
    <t>НОВЫЕ КАРТЫ РЕЗКИ</t>
  </si>
  <si>
    <t>Блоки в массиве</t>
  </si>
  <si>
    <t>Размер блоков</t>
  </si>
  <si>
    <t>выход из одного массива, м. куб.</t>
  </si>
  <si>
    <t>выход из одного автоклава, м.куб.</t>
  </si>
  <si>
    <t>м.куб. в автоклаве</t>
  </si>
  <si>
    <r>
      <t>625х</t>
    </r>
    <r>
      <rPr>
        <b/>
        <sz val="11"/>
        <color theme="1"/>
        <rFont val="Calibri"/>
        <family val="2"/>
        <charset val="204"/>
        <scheme val="minor"/>
      </rPr>
      <t>75</t>
    </r>
    <r>
      <rPr>
        <sz val="11"/>
        <color theme="1"/>
        <rFont val="Calibri"/>
        <family val="2"/>
        <charset val="204"/>
        <scheme val="minor"/>
      </rPr>
      <t>х249 + 625х300х249</t>
    </r>
  </si>
  <si>
    <t>625х75х249 (4 ряда)</t>
  </si>
  <si>
    <t>625х300х249 (4 ряда)</t>
  </si>
  <si>
    <t>625х75х249 (8 рядов)</t>
  </si>
  <si>
    <t>625х300х249 (3 ряда)</t>
  </si>
  <si>
    <r>
      <t>625х</t>
    </r>
    <r>
      <rPr>
        <b/>
        <sz val="11"/>
        <color theme="1"/>
        <rFont val="Calibri"/>
        <family val="2"/>
        <charset val="204"/>
        <scheme val="minor"/>
      </rPr>
      <t>75</t>
    </r>
    <r>
      <rPr>
        <sz val="11"/>
        <color theme="1"/>
        <rFont val="Calibri"/>
        <family val="2"/>
        <charset val="204"/>
        <scheme val="minor"/>
      </rPr>
      <t>х249 + 625х400х249</t>
    </r>
  </si>
  <si>
    <t>625х400х249 (3 ряда)</t>
  </si>
  <si>
    <r>
      <t>625х</t>
    </r>
    <r>
      <rPr>
        <b/>
        <sz val="12"/>
        <color theme="1"/>
        <rFont val="Calibri"/>
        <family val="2"/>
        <charset val="204"/>
        <scheme val="minor"/>
      </rPr>
      <t>80</t>
    </r>
    <r>
      <rPr>
        <sz val="11"/>
        <color theme="1"/>
        <rFont val="Calibri"/>
        <family val="2"/>
        <charset val="204"/>
        <scheme val="minor"/>
      </rPr>
      <t>х249 + 625х500х249</t>
    </r>
  </si>
  <si>
    <t>625х500х249 (2 ряда)</t>
  </si>
  <si>
    <r>
      <t>625х</t>
    </r>
    <r>
      <rPr>
        <b/>
        <sz val="12"/>
        <color theme="1"/>
        <rFont val="Calibri"/>
        <family val="2"/>
        <charset val="204"/>
        <scheme val="minor"/>
      </rPr>
      <t>80</t>
    </r>
    <r>
      <rPr>
        <sz val="11"/>
        <color theme="1"/>
        <rFont val="Calibri"/>
        <family val="2"/>
        <charset val="204"/>
        <scheme val="minor"/>
      </rPr>
      <t>х249 + 625х200х249</t>
    </r>
  </si>
  <si>
    <t>625х200х249 (5 рядов)</t>
  </si>
  <si>
    <r>
      <t>625х</t>
    </r>
    <r>
      <rPr>
        <b/>
        <sz val="12"/>
        <color theme="1"/>
        <rFont val="Calibri"/>
        <family val="2"/>
        <charset val="204"/>
        <scheme val="minor"/>
      </rPr>
      <t>80</t>
    </r>
    <r>
      <rPr>
        <sz val="11"/>
        <color theme="1"/>
        <rFont val="Calibri"/>
        <family val="2"/>
        <charset val="204"/>
        <scheme val="minor"/>
      </rPr>
      <t>х249 + 625х300х249</t>
    </r>
  </si>
  <si>
    <t>625х80х249 (7 рядов)</t>
  </si>
  <si>
    <t>625х100х249 + 625х200х249</t>
  </si>
  <si>
    <t>625х100х249 (1 ряд)</t>
  </si>
  <si>
    <t>625х200х249 (7 рядов)</t>
  </si>
  <si>
    <t>625х200х249 (6 рядов)</t>
  </si>
  <si>
    <t>625х100х249 (5 рядов)</t>
  </si>
  <si>
    <t>625х200х249 (4 ряда)</t>
  </si>
  <si>
    <t>625х200х249 (3 ряда)</t>
  </si>
  <si>
    <t>625х100х249 + 625х300х249</t>
  </si>
  <si>
    <t>625х100х249 (6 рядов)</t>
  </si>
  <si>
    <t>625х300х249 (2 ряда)</t>
  </si>
  <si>
    <t>625х100х249 + 625х400х249</t>
  </si>
  <si>
    <t>625х400х249 (2 ряда)</t>
  </si>
  <si>
    <t>625х120х249 + 625х300х249</t>
  </si>
  <si>
    <t>625х120х249 (5 рядов)</t>
  </si>
  <si>
    <t>625х300х249 (1 ряд)</t>
  </si>
  <si>
    <t>625х120х249 + 625х375х249</t>
  </si>
  <si>
    <t>625х120х249 (3 ряда)</t>
  </si>
  <si>
    <t>625х375х249 (3 ряда)</t>
  </si>
  <si>
    <t>625х150х249 + 625х200х249</t>
  </si>
  <si>
    <t>625х150х249 + 625х300х249</t>
  </si>
  <si>
    <t>625х150х249 (2 ряда)</t>
  </si>
  <si>
    <t>625х150х249 (4 ряда)</t>
  </si>
  <si>
    <t>625х150х249 (8 рядов)</t>
  </si>
  <si>
    <t>625х150х249 + 625х375х249</t>
  </si>
  <si>
    <t>625х150х249 (5 рядов)</t>
  </si>
  <si>
    <t>625х375х249 (2 ряда)</t>
  </si>
  <si>
    <t>625х300х200 + 625х400х200</t>
  </si>
  <si>
    <t>100х200</t>
  </si>
  <si>
    <t>625х100х200 + 625х280х200</t>
  </si>
  <si>
    <t>625х280х200 (5 рядов)</t>
  </si>
  <si>
    <t>625х100х200 + 625х300х200</t>
  </si>
  <si>
    <t>625х100х200 (3 ряда)</t>
  </si>
  <si>
    <t>625х300х200 (4 ряда)</t>
  </si>
  <si>
    <t>625х100х200 (6 рядов)</t>
  </si>
  <si>
    <t>625х300х200 (3 ряда)</t>
  </si>
  <si>
    <t>625х100х200 (9 рядов)</t>
  </si>
  <si>
    <t>625х300х200 (2 ряда)</t>
  </si>
  <si>
    <t>625х100х200 + 625х400х200</t>
  </si>
  <si>
    <t>625х400х200 (3 ряда)</t>
  </si>
  <si>
    <t>625х100х200 (7 рядов)</t>
  </si>
  <si>
    <t>625х400х200 (2 ряда)</t>
  </si>
  <si>
    <t>625х200х200 + 625х300х200</t>
  </si>
  <si>
    <t>625х200х200 (6 рядов)</t>
  </si>
  <si>
    <t>625х100х200 + 625х200х200</t>
  </si>
  <si>
    <t>625х200х200 (7 рядов)</t>
  </si>
  <si>
    <t>КАРТЫ РЕЗКИ ДО УДЛИНЕНИЯ ЛИНИИ РЕЗКИ</t>
  </si>
  <si>
    <t>625х100х249 (12 рядов)</t>
  </si>
  <si>
    <t>не всегда получается, режем при хорошей пластичности массивов, если не трещит 100-ка в сырце</t>
  </si>
  <si>
    <t>625х150х249 + 625х400х249</t>
  </si>
  <si>
    <t>(3 ряда) 625х300х249</t>
  </si>
  <si>
    <t>625х80х249 + 625х500х249</t>
  </si>
  <si>
    <t>(4 ряда) 625х100х249</t>
  </si>
  <si>
    <t>625х150х249</t>
  </si>
  <si>
    <t>625х300х249</t>
  </si>
  <si>
    <t>625х200х249 + 625х300х249</t>
  </si>
  <si>
    <t>625х100х249 + 625х200х259</t>
  </si>
  <si>
    <t>При производстве блоков размерами 625х300х249, 625х300х200, 625х375х249, 625х375х200, 625х500х249 можно резать весь массив одного размера</t>
  </si>
  <si>
    <t>625х100х249 + 625х400х259</t>
  </si>
  <si>
    <t>625х80х249 + 625х300х249</t>
  </si>
  <si>
    <t>625х240х249 + 625х300х249</t>
  </si>
  <si>
    <t>Основные карты резки, могут быть ещё варианты. Блок 625х150х249 режем целым массивом.</t>
  </si>
  <si>
    <t xml:space="preserve">Организация </t>
  </si>
  <si>
    <t>СЗАО "КварцМелПром"</t>
  </si>
  <si>
    <t>Подразделение</t>
  </si>
  <si>
    <t>Цех по производству блоков из ячеистого бетона</t>
  </si>
  <si>
    <t>М.П.</t>
  </si>
  <si>
    <t>Склад</t>
  </si>
  <si>
    <t>Готовой продукции</t>
  </si>
  <si>
    <t xml:space="preserve">НАКЛАДНАЯ </t>
  </si>
  <si>
    <t>на внутреннее перемещение готовой продукции</t>
  </si>
  <si>
    <t>" 07 "</t>
  </si>
  <si>
    <t>февраля</t>
  </si>
  <si>
    <t>2019г.</t>
  </si>
  <si>
    <t xml:space="preserve">       '-------------------------------------------------------</t>
  </si>
  <si>
    <t xml:space="preserve">Через кого: </t>
  </si>
  <si>
    <t>мастер смены</t>
  </si>
  <si>
    <t>Ходачинский П.В.</t>
  </si>
  <si>
    <t>Затребовал:</t>
  </si>
  <si>
    <t>кладовщик</t>
  </si>
  <si>
    <t>Наименование, сорт, размер, марка ценностей</t>
  </si>
  <si>
    <t>Кол.</t>
  </si>
  <si>
    <t>Ед.изм.</t>
  </si>
  <si>
    <t>№</t>
  </si>
  <si>
    <t>Количество</t>
  </si>
  <si>
    <t>под-ов</t>
  </si>
  <si>
    <t>партии</t>
  </si>
  <si>
    <t>затребовано</t>
  </si>
  <si>
    <t>отпущено</t>
  </si>
  <si>
    <t>м3. на поддоне</t>
  </si>
  <si>
    <t>2,5-500-35-</t>
  </si>
  <si>
    <t>м3</t>
  </si>
  <si>
    <t>Мастера смен</t>
  </si>
  <si>
    <t>Кладовщики</t>
  </si>
  <si>
    <t>Класс Точности</t>
  </si>
  <si>
    <t>Литвих Т.В.</t>
  </si>
  <si>
    <t>2,0-500-35-</t>
  </si>
  <si>
    <t>Пономаренко М.А.</t>
  </si>
  <si>
    <t>Пищик А.</t>
  </si>
  <si>
    <t>1    КБО</t>
  </si>
  <si>
    <t>Янчук Н.Ю.</t>
  </si>
  <si>
    <t>1    КСО</t>
  </si>
  <si>
    <t>3,5-500-35-</t>
  </si>
  <si>
    <t>Баршак А.Г.</t>
  </si>
  <si>
    <t>1    БТР</t>
  </si>
  <si>
    <t>3,5-600-35-</t>
  </si>
  <si>
    <t>Касьянюк А.В.</t>
  </si>
  <si>
    <t>5,0-600-35-</t>
  </si>
  <si>
    <t>ИТОГО</t>
  </si>
  <si>
    <t>Отпустил</t>
  </si>
  <si>
    <t>мастер смены:</t>
  </si>
  <si>
    <t xml:space="preserve"> (подпись)</t>
  </si>
  <si>
    <t>Принял кладовщик:</t>
  </si>
  <si>
    <t>_ _ _ _ _ _ _ _ _ _ _ _ _ _ _ _ _ _ _ _ _ _ _ _ _ _ _ _ _ _ _ _ _ _ _ _ _ _ _ _ _ _ _ _ _ _ _ _ _ _ _ _ _ _ _ _ _ _ _ _  _ _ _ _ _ _ _ _ _ _ _ _ _ _ _ _ _ _  _ _ _ _ _ _ _ __ _ _ _ _ _ _ _ _ _ _ _ _ _ _ _ _ _ _ _ _ _ _ _ _ _ _ _ _ _</t>
  </si>
  <si>
    <t>Паказатели во второй части накладной вводятся автоматически</t>
  </si>
  <si>
    <t>Отпустил мастер смены:</t>
  </si>
  <si>
    <t xml:space="preserve">      (подпись)</t>
  </si>
  <si>
    <t>наименование изделия</t>
  </si>
  <si>
    <t>шт на поддоне</t>
  </si>
  <si>
    <t>коэф.</t>
  </si>
  <si>
    <t>Обьем м3. на под.</t>
  </si>
  <si>
    <t>" 01 "</t>
  </si>
  <si>
    <t>января</t>
  </si>
  <si>
    <t>2017г.</t>
  </si>
  <si>
    <t xml:space="preserve"> 599*100*249-</t>
  </si>
  <si>
    <t>" 02 "</t>
  </si>
  <si>
    <t>2018г.</t>
  </si>
  <si>
    <t xml:space="preserve"> 599*120*249-</t>
  </si>
  <si>
    <t>" 03 "</t>
  </si>
  <si>
    <t>марта</t>
  </si>
  <si>
    <t xml:space="preserve"> 599*150*249-</t>
  </si>
  <si>
    <t>" 04 "</t>
  </si>
  <si>
    <t>апреля</t>
  </si>
  <si>
    <t xml:space="preserve"> 599*200*249-</t>
  </si>
  <si>
    <t>" 05 "</t>
  </si>
  <si>
    <t>мая</t>
  </si>
  <si>
    <t xml:space="preserve"> 599*300*249-</t>
  </si>
  <si>
    <t>" 06 "</t>
  </si>
  <si>
    <t>июня</t>
  </si>
  <si>
    <t xml:space="preserve"> 599*400*249-</t>
  </si>
  <si>
    <t>июля</t>
  </si>
  <si>
    <t xml:space="preserve"> 599*500*249-</t>
  </si>
  <si>
    <t>" 08 "</t>
  </si>
  <si>
    <t>августа</t>
  </si>
  <si>
    <t xml:space="preserve"> 599*300*200-</t>
  </si>
  <si>
    <t>" 09 "</t>
  </si>
  <si>
    <t>сентября</t>
  </si>
  <si>
    <t>" 10 "</t>
  </si>
  <si>
    <t>октября</t>
  </si>
  <si>
    <t xml:space="preserve"> 625*80*249-</t>
  </si>
  <si>
    <t>" 11 "</t>
  </si>
  <si>
    <t>ноября</t>
  </si>
  <si>
    <t xml:space="preserve"> 625*100*249-</t>
  </si>
  <si>
    <t>" 12 "</t>
  </si>
  <si>
    <t>декабря</t>
  </si>
  <si>
    <t xml:space="preserve"> 625*120*249-</t>
  </si>
  <si>
    <t>" 13 "</t>
  </si>
  <si>
    <t xml:space="preserve"> 625*150*249-</t>
  </si>
  <si>
    <t>" 14 "</t>
  </si>
  <si>
    <t xml:space="preserve"> 625*200*249-</t>
  </si>
  <si>
    <t>" 15 "</t>
  </si>
  <si>
    <t xml:space="preserve"> 625*300*249-</t>
  </si>
  <si>
    <t>" 16 "</t>
  </si>
  <si>
    <t xml:space="preserve"> 625*375*249-</t>
  </si>
  <si>
    <t>" 17 "</t>
  </si>
  <si>
    <t xml:space="preserve"> 625*400*249-</t>
  </si>
  <si>
    <t>" 18 "</t>
  </si>
  <si>
    <t xml:space="preserve"> 625*500*249-</t>
  </si>
  <si>
    <t>" 19 "</t>
  </si>
  <si>
    <t xml:space="preserve"> 625*300*200-</t>
  </si>
  <si>
    <t>" 20 "</t>
  </si>
  <si>
    <t xml:space="preserve"> 625*400*200-</t>
  </si>
  <si>
    <t>" 21 "</t>
  </si>
  <si>
    <t xml:space="preserve"> 625*250*249-</t>
  </si>
  <si>
    <t>" 22 "</t>
  </si>
  <si>
    <t xml:space="preserve"> 625*375*200-</t>
  </si>
  <si>
    <t>" 23 "</t>
  </si>
  <si>
    <t>" 24 "</t>
  </si>
  <si>
    <t>" 25 "</t>
  </si>
  <si>
    <t>" 26 "</t>
  </si>
  <si>
    <t xml:space="preserve"> (ж/д)     599*100*249</t>
  </si>
  <si>
    <t>" 27 "</t>
  </si>
  <si>
    <t xml:space="preserve"> (ж/д)      599*120*249</t>
  </si>
  <si>
    <t>" 28 "</t>
  </si>
  <si>
    <t xml:space="preserve"> (ж/д)     599*150*249-</t>
  </si>
  <si>
    <t>" 29 "</t>
  </si>
  <si>
    <t xml:space="preserve"> (ж/д)     599*200*249-</t>
  </si>
  <si>
    <t>" 30 "</t>
  </si>
  <si>
    <t xml:space="preserve"> (ж/д)     599*240*249-</t>
  </si>
  <si>
    <t>" 31 "</t>
  </si>
  <si>
    <t xml:space="preserve"> (ж/д)      599*300*249-</t>
  </si>
  <si>
    <t xml:space="preserve"> (ж/д)     599*400*249-</t>
  </si>
  <si>
    <t xml:space="preserve"> (ж/д)     599*400*200-</t>
  </si>
  <si>
    <t xml:space="preserve"> (ж/д)     599*300*200-</t>
  </si>
  <si>
    <t xml:space="preserve"> (ж/д)     625*80*249-</t>
  </si>
  <si>
    <t xml:space="preserve"> (ж/д)     625*100*249-</t>
  </si>
  <si>
    <t xml:space="preserve"> (ж/д)     625*120*249-</t>
  </si>
  <si>
    <t xml:space="preserve"> (ж/д)     625*150*249-</t>
  </si>
  <si>
    <t xml:space="preserve"> (ж/д)     625*200*249-</t>
  </si>
  <si>
    <t xml:space="preserve"> (ж/д)     625*240*249-</t>
  </si>
  <si>
    <t xml:space="preserve"> (ж/д)     625*300*249-</t>
  </si>
  <si>
    <t xml:space="preserve"> (ж/д)     625*375*249-</t>
  </si>
  <si>
    <t xml:space="preserve"> (ж/д)     625*400*249-</t>
  </si>
  <si>
    <t xml:space="preserve"> (ж/д)     625*280*200-</t>
  </si>
  <si>
    <t xml:space="preserve"> (ж/д)     625*300*200-</t>
  </si>
  <si>
    <t xml:space="preserve"> (ж/д)     625*400*200-</t>
  </si>
  <si>
    <t>(ж/д)     625*375*200</t>
  </si>
  <si>
    <t xml:space="preserve"> (ж/д)     625*200*200-</t>
  </si>
  <si>
    <t xml:space="preserve">   (ж/д) 1,7   625*80*249-</t>
  </si>
  <si>
    <t xml:space="preserve">   (ж/д) 1,7   625*100*249-</t>
  </si>
  <si>
    <t xml:space="preserve">   (ж/д) 1,7   625*120*249-</t>
  </si>
  <si>
    <t xml:space="preserve">   (ж/д) 1,7   625*150*249-</t>
  </si>
  <si>
    <t xml:space="preserve">   (ж/д) 1,7   625*200*249-</t>
  </si>
  <si>
    <t xml:space="preserve">   (ж/д) 1,7  625*280*200-</t>
  </si>
  <si>
    <t xml:space="preserve">   (ж/д) 1,7  625*100*200-</t>
  </si>
  <si>
    <t xml:space="preserve">   (ж/д) 1,7  625*200*200-</t>
  </si>
  <si>
    <t xml:space="preserve"> 590*60*240-</t>
  </si>
  <si>
    <t xml:space="preserve"> 590*80*240-</t>
  </si>
  <si>
    <t xml:space="preserve"> 590*120*240-</t>
  </si>
  <si>
    <t xml:space="preserve"> 590*180*240-</t>
  </si>
  <si>
    <t xml:space="preserve"> 590*240*240-</t>
  </si>
  <si>
    <t xml:space="preserve"> 590*360*240-</t>
  </si>
  <si>
    <t>Некондиция D500 (1,4)</t>
  </si>
  <si>
    <t>Некондиция D500 (1,5)</t>
  </si>
  <si>
    <t>Некондиция D500 (1,6)</t>
  </si>
  <si>
    <t>Некондиция D500 (1,7)</t>
  </si>
  <si>
    <t>Некондиция D500 (1,8)</t>
  </si>
  <si>
    <t>Некондиция D500 (1,9)</t>
  </si>
  <si>
    <t>Некондиция D500 (2,0)</t>
  </si>
  <si>
    <t>599х180х240 (3 ряд)</t>
  </si>
  <si>
    <t>599х240х240 (4 рядов)</t>
  </si>
  <si>
    <t>599х180х240 + 599х240х240</t>
  </si>
  <si>
    <t>Для автотранспорта</t>
  </si>
  <si>
    <t>Ж/Д</t>
  </si>
  <si>
    <t>Ж/Д 1,7</t>
  </si>
  <si>
    <t>При формировании пакетов 1500-1600 мм</t>
  </si>
  <si>
    <t>При формировании пакетов 1120-1200 мм</t>
  </si>
  <si>
    <t>При формировании пакетов 1320-1400 мм</t>
  </si>
  <si>
    <t>При формировании пакетов до 1000 мм</t>
  </si>
  <si>
    <t xml:space="preserve">длина </t>
  </si>
  <si>
    <t>ширина</t>
  </si>
  <si>
    <t>высота</t>
  </si>
  <si>
    <t>штук в поддоне</t>
  </si>
  <si>
    <t>объём на поддоне, м. куб.</t>
  </si>
  <si>
    <t>высота пакета без поддона, мм</t>
  </si>
  <si>
    <t>высота пакета с поддоном, мм</t>
  </si>
  <si>
    <t>Данный вариант не производим, нет технической возможности</t>
  </si>
  <si>
    <t>599х120х240 + 599х240х240</t>
  </si>
  <si>
    <t>599х240х240 (4 ряда)</t>
  </si>
  <si>
    <t>599х120х240 (2 ряда)</t>
  </si>
  <si>
    <t>599х120х240 (4 ряда)</t>
  </si>
  <si>
    <t>599х120х240 (6 ряда)</t>
  </si>
  <si>
    <t>599х120х240 (8 ряда)</t>
  </si>
  <si>
    <t>599х240х240 (3 ряда)</t>
  </si>
  <si>
    <t>599х240х240 (5 ряда)</t>
  </si>
  <si>
    <t>класс прочности</t>
  </si>
  <si>
    <t>Плотность</t>
  </si>
  <si>
    <t>Морозостойкость</t>
  </si>
  <si>
    <t>Категория</t>
  </si>
  <si>
    <t>599х300х240 + 599х240х240</t>
  </si>
  <si>
    <t>599х300х240 (1 ряд)</t>
  </si>
  <si>
    <t>599х240х240 (5 рядов)</t>
  </si>
  <si>
    <t>599*180*240(1 ряд)</t>
  </si>
  <si>
    <r>
      <t>599х</t>
    </r>
    <r>
      <rPr>
        <b/>
        <u/>
        <sz val="11"/>
        <color theme="1"/>
        <rFont val="Calibri"/>
        <family val="2"/>
        <charset val="204"/>
        <scheme val="minor"/>
      </rPr>
      <t>240</t>
    </r>
    <r>
      <rPr>
        <b/>
        <sz val="11"/>
        <color theme="1"/>
        <rFont val="Calibri"/>
        <family val="2"/>
        <charset val="204"/>
        <scheme val="minor"/>
      </rPr>
      <t>/180/120х240 D500</t>
    </r>
  </si>
  <si>
    <t>599х180х240 + 599х120х240</t>
  </si>
  <si>
    <t>599*120*240 (1 рядов)</t>
  </si>
  <si>
    <t>599*240*240(5 ряда)</t>
  </si>
  <si>
    <t>4 ряда 80</t>
  </si>
  <si>
    <t>оптимальный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</si>
</sst>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Arial Cyr"/>
      <charset val="204"/>
    </font>
    <font>
      <b/>
      <sz val="12"/>
      <name val="Arial Cyr"/>
      <charset val="204"/>
    </font>
    <font>
      <sz val="26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4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center" vertical="center"/>
    </xf>
    <xf numFmtId="9" fontId="0" fillId="0" borderId="0" xfId="1" applyFont="1" applyAlignment="1">
      <alignment horizontal="left"/>
    </xf>
    <xf numFmtId="0" fontId="0" fillId="4" borderId="1" xfId="0" applyFill="1" applyBorder="1" applyAlignment="1">
      <alignment horizontal="right" vertical="center"/>
    </xf>
    <xf numFmtId="164" fontId="0" fillId="4" borderId="1" xfId="0" applyNumberFormat="1" applyFill="1" applyBorder="1" applyAlignment="1">
      <alignment horizontal="center" vertical="center"/>
    </xf>
    <xf numFmtId="9" fontId="0" fillId="0" borderId="0" xfId="1" applyFont="1"/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6" borderId="1" xfId="0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right" vertical="center"/>
    </xf>
    <xf numFmtId="0" fontId="0" fillId="9" borderId="1" xfId="0" applyFill="1" applyBorder="1" applyAlignment="1">
      <alignment horizontal="left" vertical="center"/>
    </xf>
    <xf numFmtId="164" fontId="0" fillId="9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9" fontId="0" fillId="0" borderId="0" xfId="1" applyNumberFormat="1" applyFont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0" fillId="2" borderId="36" xfId="0" applyFill="1" applyBorder="1" applyAlignment="1">
      <alignment horizontal="left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164" fontId="0" fillId="2" borderId="1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164" fontId="0" fillId="0" borderId="36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164" fontId="0" fillId="0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/>
    <xf numFmtId="0" fontId="9" fillId="0" borderId="0" xfId="0" applyFont="1"/>
    <xf numFmtId="0" fontId="10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0" fillId="0" borderId="0" xfId="0" quotePrefix="1"/>
    <xf numFmtId="0" fontId="12" fillId="0" borderId="0" xfId="0" applyFont="1"/>
    <xf numFmtId="0" fontId="12" fillId="0" borderId="0" xfId="0" applyFont="1" applyAlignment="1"/>
    <xf numFmtId="0" fontId="7" fillId="0" borderId="0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2" fillId="0" borderId="0" xfId="0" applyFont="1" applyBorder="1" applyAlignment="1"/>
    <xf numFmtId="0" fontId="0" fillId="0" borderId="0" xfId="0" applyBorder="1"/>
    <xf numFmtId="0" fontId="13" fillId="0" borderId="4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1" xfId="0" applyBorder="1"/>
    <xf numFmtId="0" fontId="9" fillId="0" borderId="54" xfId="0" applyFont="1" applyBorder="1" applyAlignment="1" applyProtection="1">
      <alignment horizontal="left" vertical="center"/>
      <protection hidden="1"/>
    </xf>
    <xf numFmtId="0" fontId="9" fillId="0" borderId="55" xfId="0" applyFont="1" applyBorder="1" applyAlignment="1" applyProtection="1">
      <alignment horizontal="left" vertical="center"/>
      <protection hidden="1"/>
    </xf>
    <xf numFmtId="0" fontId="12" fillId="0" borderId="1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0" fontId="9" fillId="0" borderId="54" xfId="0" applyFont="1" applyBorder="1" applyAlignment="1" applyProtection="1">
      <alignment vertical="center"/>
      <protection hidden="1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24" xfId="0" applyFont="1" applyBorder="1"/>
    <xf numFmtId="0" fontId="1" fillId="0" borderId="2" xfId="0" applyFont="1" applyBorder="1"/>
    <xf numFmtId="0" fontId="0" fillId="0" borderId="25" xfId="0" applyBorder="1"/>
    <xf numFmtId="0" fontId="0" fillId="0" borderId="28" xfId="0" applyBorder="1"/>
    <xf numFmtId="0" fontId="1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2" borderId="19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9" fillId="0" borderId="54" xfId="0" applyFont="1" applyBorder="1" applyAlignment="1" applyProtection="1">
      <alignment vertical="center"/>
    </xf>
    <xf numFmtId="0" fontId="9" fillId="0" borderId="55" xfId="0" applyFont="1" applyBorder="1" applyAlignment="1" applyProtection="1">
      <alignment horizontal="left" vertical="center"/>
    </xf>
    <xf numFmtId="0" fontId="12" fillId="0" borderId="31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164" fontId="12" fillId="0" borderId="42" xfId="0" applyNumberFormat="1" applyFont="1" applyBorder="1" applyAlignment="1">
      <alignment horizontal="center"/>
    </xf>
    <xf numFmtId="0" fontId="0" fillId="0" borderId="22" xfId="0" applyBorder="1"/>
    <xf numFmtId="0" fontId="12" fillId="0" borderId="23" xfId="0" applyFont="1" applyBorder="1" applyAlignment="1"/>
    <xf numFmtId="0" fontId="0" fillId="0" borderId="24" xfId="0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12" fillId="0" borderId="28" xfId="0" applyNumberFormat="1" applyFont="1" applyBorder="1" applyAlignment="1">
      <alignment horizontal="center"/>
    </xf>
    <xf numFmtId="0" fontId="9" fillId="0" borderId="58" xfId="0" applyFont="1" applyBorder="1" applyAlignment="1"/>
    <xf numFmtId="0" fontId="13" fillId="0" borderId="58" xfId="0" applyFont="1" applyBorder="1"/>
    <xf numFmtId="0" fontId="0" fillId="0" borderId="58" xfId="0" applyBorder="1" applyAlignment="1">
      <alignment horizontal="left"/>
    </xf>
    <xf numFmtId="0" fontId="9" fillId="0" borderId="0" xfId="0" applyFont="1" applyBorder="1" applyAlignment="1"/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14" fillId="0" borderId="0" xfId="0" applyFont="1"/>
    <xf numFmtId="0" fontId="16" fillId="0" borderId="0" xfId="0" applyFont="1" applyAlignment="1">
      <alignment wrapText="1"/>
    </xf>
    <xf numFmtId="0" fontId="0" fillId="0" borderId="0" xfId="0" applyFont="1" applyAlignment="1"/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4" xfId="0" applyFont="1" applyBorder="1" applyAlignment="1"/>
    <xf numFmtId="0" fontId="9" fillId="0" borderId="55" xfId="0" applyFont="1" applyBorder="1" applyAlignment="1">
      <alignment horizontal="left"/>
    </xf>
    <xf numFmtId="0" fontId="12" fillId="0" borderId="18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0" fontId="9" fillId="0" borderId="63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0" fontId="9" fillId="0" borderId="59" xfId="0" applyFont="1" applyBorder="1" applyAlignment="1">
      <alignment horizontal="left"/>
    </xf>
    <xf numFmtId="0" fontId="9" fillId="0" borderId="65" xfId="0" applyFont="1" applyBorder="1" applyAlignment="1">
      <alignment horizontal="left"/>
    </xf>
    <xf numFmtId="0" fontId="12" fillId="0" borderId="62" xfId="0" applyFont="1" applyBorder="1" applyAlignment="1">
      <alignment horizontal="center"/>
    </xf>
    <xf numFmtId="164" fontId="12" fillId="0" borderId="15" xfId="0" applyNumberFormat="1" applyFont="1" applyBorder="1" applyAlignment="1">
      <alignment horizontal="center"/>
    </xf>
    <xf numFmtId="164" fontId="12" fillId="0" borderId="41" xfId="0" applyNumberFormat="1" applyFont="1" applyBorder="1" applyAlignment="1">
      <alignment horizontal="center"/>
    </xf>
    <xf numFmtId="0" fontId="13" fillId="0" borderId="45" xfId="0" applyFont="1" applyBorder="1" applyAlignment="1"/>
    <xf numFmtId="0" fontId="13" fillId="0" borderId="66" xfId="0" applyFont="1" applyBorder="1" applyAlignment="1"/>
    <xf numFmtId="0" fontId="9" fillId="0" borderId="0" xfId="0" applyFont="1" applyAlignment="1"/>
    <xf numFmtId="0" fontId="13" fillId="0" borderId="0" xfId="0" applyFont="1" applyAlignment="1"/>
    <xf numFmtId="0" fontId="13" fillId="0" borderId="58" xfId="0" applyFont="1" applyBorder="1" applyAlignment="1"/>
    <xf numFmtId="0" fontId="0" fillId="0" borderId="58" xfId="0" applyBorder="1"/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164" fontId="0" fillId="0" borderId="1" xfId="0" applyNumberFormat="1" applyBorder="1"/>
    <xf numFmtId="165" fontId="18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11" borderId="1" xfId="0" applyFill="1" applyBorder="1" applyAlignment="1">
      <alignment horizontal="left" vertical="center"/>
    </xf>
    <xf numFmtId="164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/>
    </xf>
    <xf numFmtId="0" fontId="0" fillId="14" borderId="67" xfId="0" applyFill="1" applyBorder="1" applyAlignment="1">
      <alignment horizontal="center" vertical="center"/>
    </xf>
    <xf numFmtId="0" fontId="0" fillId="13" borderId="19" xfId="0" applyFill="1" applyBorder="1" applyAlignment="1">
      <alignment horizontal="center" vertical="center"/>
    </xf>
    <xf numFmtId="1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64" fontId="0" fillId="13" borderId="1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1" fillId="14" borderId="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13" borderId="19" xfId="0" applyNumberFormat="1" applyFill="1" applyBorder="1" applyAlignment="1">
      <alignment horizontal="center" vertical="center"/>
    </xf>
    <xf numFmtId="164" fontId="1" fillId="14" borderId="1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left" vertical="center"/>
    </xf>
    <xf numFmtId="0" fontId="0" fillId="15" borderId="1" xfId="0" applyFill="1" applyBorder="1" applyAlignment="1">
      <alignment horizontal="center" vertical="center"/>
    </xf>
    <xf numFmtId="164" fontId="0" fillId="15" borderId="1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right" vertical="center"/>
    </xf>
    <xf numFmtId="0" fontId="0" fillId="16" borderId="1" xfId="0" applyFill="1" applyBorder="1" applyAlignment="1">
      <alignment horizontal="left" vertical="center"/>
    </xf>
    <xf numFmtId="164" fontId="0" fillId="16" borderId="1" xfId="0" applyNumberFormat="1" applyFill="1" applyBorder="1" applyAlignment="1">
      <alignment horizontal="center" vertical="center"/>
    </xf>
    <xf numFmtId="0" fontId="0" fillId="16" borderId="1" xfId="0" applyFill="1" applyBorder="1" applyAlignment="1">
      <alignment horizontal="right" vertical="center"/>
    </xf>
    <xf numFmtId="0" fontId="0" fillId="17" borderId="1" xfId="0" applyFill="1" applyBorder="1" applyAlignment="1">
      <alignment horizontal="left" vertical="center"/>
    </xf>
    <xf numFmtId="164" fontId="0" fillId="17" borderId="1" xfId="0" applyNumberFormat="1" applyFill="1" applyBorder="1" applyAlignment="1">
      <alignment horizontal="center" vertical="center"/>
    </xf>
    <xf numFmtId="0" fontId="0" fillId="17" borderId="1" xfId="0" applyFill="1" applyBorder="1" applyAlignment="1">
      <alignment horizontal="right" vertical="center"/>
    </xf>
    <xf numFmtId="0" fontId="0" fillId="3" borderId="10" xfId="0" applyFill="1" applyBorder="1" applyAlignment="1">
      <alignment horizontal="left" vertical="top"/>
    </xf>
    <xf numFmtId="0" fontId="0" fillId="10" borderId="1" xfId="0" applyFill="1" applyBorder="1" applyAlignment="1">
      <alignment horizontal="left" vertical="center"/>
    </xf>
    <xf numFmtId="164" fontId="0" fillId="10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164" fontId="0" fillId="0" borderId="0" xfId="0" applyNumberFormat="1" applyBorder="1"/>
    <xf numFmtId="1" fontId="0" fillId="0" borderId="0" xfId="0" applyNumberFormat="1" applyFill="1" applyBorder="1" applyAlignment="1">
      <alignment horizontal="center" vertical="center" wrapText="1"/>
    </xf>
    <xf numFmtId="0" fontId="0" fillId="2" borderId="0" xfId="0" applyFill="1" applyBorder="1"/>
    <xf numFmtId="0" fontId="1" fillId="0" borderId="67" xfId="0" applyFont="1" applyBorder="1" applyAlignment="1">
      <alignment horizontal="center" vertical="center" wrapText="1"/>
    </xf>
    <xf numFmtId="0" fontId="0" fillId="13" borderId="67" xfId="0" applyFill="1" applyBorder="1" applyAlignment="1">
      <alignment horizontal="center" vertical="center"/>
    </xf>
    <xf numFmtId="164" fontId="0" fillId="0" borderId="0" xfId="0" applyNumberFormat="1" applyFill="1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0" fontId="0" fillId="0" borderId="44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2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164" fontId="0" fillId="0" borderId="37" xfId="0" applyNumberFormat="1" applyBorder="1" applyAlignment="1">
      <alignment horizontal="center" vertical="center"/>
    </xf>
    <xf numFmtId="0" fontId="0" fillId="0" borderId="3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5" xfId="0" applyFill="1" applyBorder="1" applyAlignment="1">
      <alignment horizontal="center"/>
    </xf>
    <xf numFmtId="0" fontId="9" fillId="0" borderId="53" xfId="0" applyFont="1" applyBorder="1" applyAlignment="1">
      <alignment horizontal="right"/>
    </xf>
    <xf numFmtId="0" fontId="9" fillId="0" borderId="54" xfId="0" applyFont="1" applyBorder="1" applyAlignment="1">
      <alignment horizontal="right"/>
    </xf>
    <xf numFmtId="0" fontId="9" fillId="0" borderId="39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9" fillId="0" borderId="59" xfId="0" applyFont="1" applyBorder="1" applyAlignment="1">
      <alignment horizontal="right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58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5" fillId="0" borderId="5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9" fillId="0" borderId="53" xfId="0" applyFont="1" applyBorder="1" applyAlignment="1" applyProtection="1">
      <alignment horizontal="right" vertical="center"/>
      <protection hidden="1"/>
    </xf>
    <xf numFmtId="0" fontId="9" fillId="0" borderId="54" xfId="0" applyFont="1" applyBorder="1" applyAlignment="1" applyProtection="1">
      <alignment horizontal="right" vertical="center"/>
      <protection hidden="1"/>
    </xf>
    <xf numFmtId="0" fontId="9" fillId="0" borderId="53" xfId="0" applyFont="1" applyBorder="1" applyAlignment="1" applyProtection="1">
      <alignment horizontal="right" vertical="center"/>
    </xf>
    <xf numFmtId="0" fontId="9" fillId="0" borderId="54" xfId="0" applyFont="1" applyBorder="1" applyAlignment="1" applyProtection="1">
      <alignment horizontal="right" vertical="center"/>
    </xf>
    <xf numFmtId="0" fontId="12" fillId="0" borderId="0" xfId="0" applyFont="1" applyBorder="1" applyAlignment="1">
      <alignment horizontal="left"/>
    </xf>
    <xf numFmtId="0" fontId="13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0" borderId="67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13" borderId="21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29" xfId="0" applyFont="1" applyBorder="1" applyAlignment="1">
      <alignment horizontal="center" vertical="center" textRotation="90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0" borderId="19" xfId="0" applyFill="1" applyBorder="1" applyAlignment="1">
      <alignment horizontal="center" vertical="center"/>
    </xf>
    <xf numFmtId="0" fontId="19" fillId="15" borderId="17" xfId="0" applyFont="1" applyFill="1" applyBorder="1" applyAlignment="1">
      <alignment horizontal="center" vertical="center" textRotation="90"/>
    </xf>
    <xf numFmtId="0" fontId="19" fillId="15" borderId="56" xfId="0" applyFont="1" applyFill="1" applyBorder="1" applyAlignment="1">
      <alignment horizontal="center" vertical="center" textRotation="90"/>
    </xf>
    <xf numFmtId="0" fontId="19" fillId="15" borderId="18" xfId="0" applyFont="1" applyFill="1" applyBorder="1" applyAlignment="1">
      <alignment horizontal="center" vertical="center" textRotation="90"/>
    </xf>
    <xf numFmtId="0" fontId="0" fillId="15" borderId="19" xfId="0" applyFill="1" applyBorder="1" applyAlignment="1">
      <alignment horizontal="center" vertical="center"/>
    </xf>
    <xf numFmtId="0" fontId="20" fillId="11" borderId="17" xfId="0" applyFont="1" applyFill="1" applyBorder="1" applyAlignment="1">
      <alignment horizontal="center" vertical="center" textRotation="90"/>
    </xf>
    <xf numFmtId="0" fontId="20" fillId="11" borderId="18" xfId="0" applyFont="1" applyFill="1" applyBorder="1" applyAlignment="1">
      <alignment horizontal="center" vertical="center" textRotation="90"/>
    </xf>
    <xf numFmtId="0" fontId="0" fillId="11" borderId="19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left" vertical="center"/>
    </xf>
    <xf numFmtId="0" fontId="22" fillId="3" borderId="3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 textRotation="90"/>
    </xf>
    <xf numFmtId="0" fontId="2" fillId="16" borderId="18" xfId="0" applyFont="1" applyFill="1" applyBorder="1" applyAlignment="1">
      <alignment horizontal="center" vertical="center" textRotation="90"/>
    </xf>
    <xf numFmtId="0" fontId="0" fillId="16" borderId="19" xfId="0" applyFill="1" applyBorder="1" applyAlignment="1">
      <alignment horizontal="center" vertical="center"/>
    </xf>
    <xf numFmtId="0" fontId="0" fillId="17" borderId="19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29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 textRotation="90"/>
    </xf>
    <xf numFmtId="0" fontId="0" fillId="0" borderId="63" xfId="0" applyBorder="1" applyAlignment="1">
      <alignment horizontal="center" vertical="center" textRotation="90"/>
    </xf>
    <xf numFmtId="0" fontId="0" fillId="0" borderId="68" xfId="0" applyBorder="1" applyAlignment="1">
      <alignment horizontal="center" vertical="center" textRotation="9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ctrlProps/ctrlProp1.xml><?xml version="1.0" encoding="utf-8"?>
<formControlPr xmlns="http://schemas.microsoft.com/office/spreadsheetml/2009/9/main" objectType="Drop" dropLines="40" dropStyle="combo" dx="18" fmlaLink="$N$14" fmlaRange="$O$74:$O$158" noThreeD="1" sel="43" val="37"/>
</file>

<file path=xl/ctrlProps/ctrlProp10.xml><?xml version="1.0" encoding="utf-8"?>
<formControlPr xmlns="http://schemas.microsoft.com/office/spreadsheetml/2009/9/main" objectType="Drop" dropLines="30" dropStyle="combo" dx="18" fmlaLink="$N$20" fmlaRange="$O$74:$O$158" noThreeD="1" sel="36" val="33"/>
</file>

<file path=xl/ctrlProps/ctrlProp11.xml><?xml version="1.0" encoding="utf-8"?>
<formControlPr xmlns="http://schemas.microsoft.com/office/spreadsheetml/2009/9/main" objectType="Drop" dropLines="30" dropStyle="combo" dx="18" fmlaLink="$N$21" fmlaRange="$O$74:$O$158" noThreeD="1" sel="83" val="55"/>
</file>

<file path=xl/ctrlProps/ctrlProp12.xml><?xml version="1.0" encoding="utf-8"?>
<formControlPr xmlns="http://schemas.microsoft.com/office/spreadsheetml/2009/9/main" objectType="Drop" dropLines="30" dropStyle="combo" dx="18" fmlaLink="$N$22" fmlaRange="$O$74:$O$158" noThreeD="1" sel="84" val="55"/>
</file>

<file path=xl/ctrlProps/ctrlProp2.xml><?xml version="1.0" encoding="utf-8"?>
<formControlPr xmlns="http://schemas.microsoft.com/office/spreadsheetml/2009/9/main" objectType="Drop" dropLines="40" dropStyle="combo" dx="18" fmlaLink="$N$15" fmlaRange="$O$74:$O$158" noThreeD="1" sel="76" val="47"/>
</file>

<file path=xl/ctrlProps/ctrlProp3.xml><?xml version="1.0" encoding="utf-8"?>
<formControlPr xmlns="http://schemas.microsoft.com/office/spreadsheetml/2009/9/main" objectType="Drop" dropLines="30" dropStyle="combo" dx="18" fmlaLink="$N$16" fmlaRange="$O$74:$O$158" noThreeD="1" sel="36" val="18"/>
</file>

<file path=xl/ctrlProps/ctrlProp4.xml><?xml version="1.0" encoding="utf-8"?>
<formControlPr xmlns="http://schemas.microsoft.com/office/spreadsheetml/2009/9/main" objectType="Drop" dropLines="30" dropStyle="combo" dx="18" fmlaLink="$N$17" fmlaRange="$O$74:$O$158" noThreeD="1" sel="81" val="55"/>
</file>

<file path=xl/ctrlProps/ctrlProp5.xml><?xml version="1.0" encoding="utf-8"?>
<formControlPr xmlns="http://schemas.microsoft.com/office/spreadsheetml/2009/9/main" objectType="Drop" dropLines="30" dropStyle="combo" dx="18" fmlaLink="$N$18" fmlaRange="$O$74:$O$158" noThreeD="1" sel="36" val="16"/>
</file>

<file path=xl/ctrlProps/ctrlProp6.xml><?xml version="1.0" encoding="utf-8"?>
<formControlPr xmlns="http://schemas.microsoft.com/office/spreadsheetml/2009/9/main" objectType="Drop" dropLines="30" dropStyle="combo" dx="18" fmlaLink="$N$19" fmlaRange="$O$74:$O$158" noThreeD="1" sel="82" val="53"/>
</file>

<file path=xl/ctrlProps/ctrlProp7.xml><?xml version="1.0" encoding="utf-8"?>
<formControlPr xmlns="http://schemas.microsoft.com/office/spreadsheetml/2009/9/main" objectType="Drop" dropLines="30" dropStyle="combo" dx="18" fmlaLink="$N$20" fmlaRange="$O$74:$O$158" noThreeD="1" sel="36" val="33"/>
</file>

<file path=xl/ctrlProps/ctrlProp8.xml><?xml version="1.0" encoding="utf-8"?>
<formControlPr xmlns="http://schemas.microsoft.com/office/spreadsheetml/2009/9/main" objectType="Drop" dropLines="30" dropStyle="combo" dx="18" fmlaLink="$N$20" fmlaRange="$O$74:$O$158" noThreeD="1" sel="36" val="18"/>
</file>

<file path=xl/ctrlProps/ctrlProp9.xml><?xml version="1.0" encoding="utf-8"?>
<formControlPr xmlns="http://schemas.microsoft.com/office/spreadsheetml/2009/9/main" objectType="Drop" dropLines="30" dropStyle="combo" dx="18" fmlaLink="$N$21" fmlaRange="$O$74:$O$158" noThreeD="1" sel="83" val="4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13</xdr:row>
          <xdr:rowOff>28575</xdr:rowOff>
        </xdr:from>
        <xdr:to>
          <xdr:col>12</xdr:col>
          <xdr:colOff>685800</xdr:colOff>
          <xdr:row>14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14</xdr:row>
          <xdr:rowOff>19050</xdr:rowOff>
        </xdr:from>
        <xdr:to>
          <xdr:col>12</xdr:col>
          <xdr:colOff>685800</xdr:colOff>
          <xdr:row>15</xdr:row>
          <xdr:rowOff>9525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15</xdr:row>
          <xdr:rowOff>0</xdr:rowOff>
        </xdr:from>
        <xdr:to>
          <xdr:col>12</xdr:col>
          <xdr:colOff>685800</xdr:colOff>
          <xdr:row>16</xdr:row>
          <xdr:rowOff>28575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</xdr:row>
          <xdr:rowOff>28575</xdr:rowOff>
        </xdr:from>
        <xdr:to>
          <xdr:col>12</xdr:col>
          <xdr:colOff>685800</xdr:colOff>
          <xdr:row>17</xdr:row>
          <xdr:rowOff>38100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17</xdr:row>
          <xdr:rowOff>28575</xdr:rowOff>
        </xdr:from>
        <xdr:to>
          <xdr:col>12</xdr:col>
          <xdr:colOff>685800</xdr:colOff>
          <xdr:row>18</xdr:row>
          <xdr:rowOff>47625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47625</xdr:rowOff>
        </xdr:from>
        <xdr:to>
          <xdr:col>12</xdr:col>
          <xdr:colOff>685800</xdr:colOff>
          <xdr:row>19</xdr:row>
          <xdr:rowOff>47625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38100</xdr:rowOff>
        </xdr:from>
        <xdr:to>
          <xdr:col>12</xdr:col>
          <xdr:colOff>685800</xdr:colOff>
          <xdr:row>20</xdr:row>
          <xdr:rowOff>57150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38100</xdr:rowOff>
        </xdr:from>
        <xdr:to>
          <xdr:col>12</xdr:col>
          <xdr:colOff>685800</xdr:colOff>
          <xdr:row>20</xdr:row>
          <xdr:rowOff>47625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38100</xdr:rowOff>
        </xdr:from>
        <xdr:to>
          <xdr:col>12</xdr:col>
          <xdr:colOff>685800</xdr:colOff>
          <xdr:row>21</xdr:row>
          <xdr:rowOff>57150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38100</xdr:rowOff>
        </xdr:from>
        <xdr:to>
          <xdr:col>12</xdr:col>
          <xdr:colOff>685800</xdr:colOff>
          <xdr:row>21</xdr:row>
          <xdr:rowOff>57150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38100</xdr:rowOff>
        </xdr:from>
        <xdr:to>
          <xdr:col>12</xdr:col>
          <xdr:colOff>685800</xdr:colOff>
          <xdr:row>21</xdr:row>
          <xdr:rowOff>47625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38100</xdr:rowOff>
        </xdr:from>
        <xdr:to>
          <xdr:col>12</xdr:col>
          <xdr:colOff>685800</xdr:colOff>
          <xdr:row>22</xdr:row>
          <xdr:rowOff>38100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&#1062;&#1077;&#1093;%20&#1073;&#1083;&#1086;&#1082;&#1086;&#1074;/&#1084;&#1072;&#1089;&#1090;&#1077;&#1088;/&#1054;&#1073;&#1097;&#1072;&#1103;/&#1053;&#1040;&#1050;&#1051;&#1040;&#1044;&#1053;&#1067;&#1045;/2019/&#1060;&#1077;&#1074;&#1088;&#1072;&#1083;&#1100;/07.02.19%20&#1085;&#1086;&#1095;&#1100;%20(3)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16">
          <cell r="U16" t="str">
            <v>Ходачинский П.В.</v>
          </cell>
          <cell r="X16" t="str">
            <v>Литвих Т.В.</v>
          </cell>
        </row>
        <row r="17">
          <cell r="U17" t="str">
            <v>Пономаренко М.А.</v>
          </cell>
          <cell r="X17" t="str">
            <v>Пищик А.</v>
          </cell>
        </row>
        <row r="18">
          <cell r="U18" t="str">
            <v>Янчук Н.Ю.</v>
          </cell>
          <cell r="X18">
            <v>0</v>
          </cell>
        </row>
        <row r="19">
          <cell r="U19" t="str">
            <v>Баршак А.Г.</v>
          </cell>
          <cell r="X19">
            <v>0</v>
          </cell>
        </row>
        <row r="20">
          <cell r="U20" t="str">
            <v>Касьянюк А.В.</v>
          </cell>
          <cell r="X20">
            <v>0</v>
          </cell>
        </row>
        <row r="21">
          <cell r="U21">
            <v>0</v>
          </cell>
          <cell r="X21">
            <v>0</v>
          </cell>
        </row>
        <row r="22">
          <cell r="U22">
            <v>0</v>
          </cell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73">
          <cell r="T73" t="str">
            <v>" 01 "</v>
          </cell>
          <cell r="V73" t="str">
            <v>января</v>
          </cell>
          <cell r="X73" t="str">
            <v>2017г.</v>
          </cell>
        </row>
        <row r="74">
          <cell r="T74" t="str">
            <v>" 02 "</v>
          </cell>
          <cell r="V74" t="str">
            <v>февраля</v>
          </cell>
          <cell r="X74" t="str">
            <v>2018г.</v>
          </cell>
        </row>
        <row r="75">
          <cell r="T75" t="str">
            <v>" 03 "</v>
          </cell>
          <cell r="V75" t="str">
            <v>марта</v>
          </cell>
          <cell r="X75" t="str">
            <v>2019г.</v>
          </cell>
        </row>
        <row r="76">
          <cell r="T76" t="str">
            <v>" 04 "</v>
          </cell>
          <cell r="V76" t="str">
            <v>апреля</v>
          </cell>
        </row>
        <row r="77">
          <cell r="T77" t="str">
            <v>" 05 "</v>
          </cell>
          <cell r="V77" t="str">
            <v>мая</v>
          </cell>
        </row>
        <row r="78">
          <cell r="T78" t="str">
            <v>" 06 "</v>
          </cell>
          <cell r="V78" t="str">
            <v>июня</v>
          </cell>
        </row>
        <row r="79">
          <cell r="T79" t="str">
            <v>" 07 "</v>
          </cell>
          <cell r="V79" t="str">
            <v>июля</v>
          </cell>
        </row>
        <row r="80">
          <cell r="T80" t="str">
            <v>" 08 "</v>
          </cell>
          <cell r="V80" t="str">
            <v>августа</v>
          </cell>
        </row>
        <row r="81">
          <cell r="T81" t="str">
            <v>" 09 "</v>
          </cell>
          <cell r="V81" t="str">
            <v>сентября</v>
          </cell>
        </row>
        <row r="82">
          <cell r="T82" t="str">
            <v>" 10 "</v>
          </cell>
          <cell r="V82" t="str">
            <v>октября</v>
          </cell>
        </row>
        <row r="83">
          <cell r="T83" t="str">
            <v>" 11 "</v>
          </cell>
          <cell r="V83" t="str">
            <v>ноября</v>
          </cell>
        </row>
        <row r="84">
          <cell r="T84" t="str">
            <v>" 12 "</v>
          </cell>
          <cell r="V84" t="str">
            <v>декабря</v>
          </cell>
        </row>
        <row r="85">
          <cell r="T85" t="str">
            <v>" 13 "</v>
          </cell>
        </row>
        <row r="86">
          <cell r="T86" t="str">
            <v>" 14 "</v>
          </cell>
        </row>
        <row r="87">
          <cell r="T87" t="str">
            <v>" 15 "</v>
          </cell>
        </row>
        <row r="88">
          <cell r="T88" t="str">
            <v>" 16 "</v>
          </cell>
        </row>
        <row r="89">
          <cell r="T89" t="str">
            <v>" 17 "</v>
          </cell>
        </row>
        <row r="90">
          <cell r="T90" t="str">
            <v>" 18 "</v>
          </cell>
        </row>
        <row r="91">
          <cell r="T91" t="str">
            <v>" 19 "</v>
          </cell>
        </row>
        <row r="92">
          <cell r="T92" t="str">
            <v>" 20 "</v>
          </cell>
        </row>
        <row r="93">
          <cell r="T93" t="str">
            <v>" 21 "</v>
          </cell>
        </row>
        <row r="94">
          <cell r="T94" t="str">
            <v>" 22 "</v>
          </cell>
        </row>
        <row r="95">
          <cell r="T95" t="str">
            <v>" 23 "</v>
          </cell>
        </row>
        <row r="96">
          <cell r="T96" t="str">
            <v>" 24 "</v>
          </cell>
        </row>
        <row r="97">
          <cell r="T97" t="str">
            <v>" 25 "</v>
          </cell>
        </row>
        <row r="98">
          <cell r="T98" t="str">
            <v>" 26 "</v>
          </cell>
        </row>
        <row r="99">
          <cell r="T99" t="str">
            <v>" 27 "</v>
          </cell>
        </row>
        <row r="100">
          <cell r="T100" t="str">
            <v>" 28 "</v>
          </cell>
        </row>
        <row r="101">
          <cell r="T101" t="str">
            <v>" 29 "</v>
          </cell>
        </row>
        <row r="102">
          <cell r="T102" t="str">
            <v>" 30 "</v>
          </cell>
        </row>
        <row r="103">
          <cell r="T103" t="str">
            <v>" 31 "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 /><Relationship Id="rId13" Type="http://schemas.openxmlformats.org/officeDocument/2006/relationships/ctrlProp" Target="../ctrlProps/ctrlProp11.xml" /><Relationship Id="rId3" Type="http://schemas.openxmlformats.org/officeDocument/2006/relationships/ctrlProp" Target="../ctrlProps/ctrlProp1.xml" /><Relationship Id="rId7" Type="http://schemas.openxmlformats.org/officeDocument/2006/relationships/ctrlProp" Target="../ctrlProps/ctrlProp5.xml" /><Relationship Id="rId12" Type="http://schemas.openxmlformats.org/officeDocument/2006/relationships/ctrlProp" Target="../ctrlProps/ctrlProp10.xml" /><Relationship Id="rId2" Type="http://schemas.openxmlformats.org/officeDocument/2006/relationships/vmlDrawing" Target="../drawings/vmlDrawing1.vml" /><Relationship Id="rId1" Type="http://schemas.openxmlformats.org/officeDocument/2006/relationships/drawing" Target="../drawings/drawing1.xml" /><Relationship Id="rId6" Type="http://schemas.openxmlformats.org/officeDocument/2006/relationships/ctrlProp" Target="../ctrlProps/ctrlProp4.xml" /><Relationship Id="rId11" Type="http://schemas.openxmlformats.org/officeDocument/2006/relationships/ctrlProp" Target="../ctrlProps/ctrlProp9.xml" /><Relationship Id="rId5" Type="http://schemas.openxmlformats.org/officeDocument/2006/relationships/ctrlProp" Target="../ctrlProps/ctrlProp3.xml" /><Relationship Id="rId10" Type="http://schemas.openxmlformats.org/officeDocument/2006/relationships/ctrlProp" Target="../ctrlProps/ctrlProp8.xml" /><Relationship Id="rId4" Type="http://schemas.openxmlformats.org/officeDocument/2006/relationships/ctrlProp" Target="../ctrlProps/ctrlProp2.xml" /><Relationship Id="rId9" Type="http://schemas.openxmlformats.org/officeDocument/2006/relationships/ctrlProp" Target="../ctrlProps/ctrlProp7.xml" /><Relationship Id="rId14" Type="http://schemas.openxmlformats.org/officeDocument/2006/relationships/ctrlProp" Target="../ctrlProps/ctrlProp1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opLeftCell="B1" workbookViewId="0">
      <selection activeCell="F15" sqref="F15:F16"/>
    </sheetView>
  </sheetViews>
  <sheetFormatPr defaultRowHeight="15" x14ac:dyDescent="0.2"/>
  <cols>
    <col min="1" max="1" width="25.2890625" bestFit="1" customWidth="1"/>
    <col min="2" max="2" width="25.2890625" customWidth="1"/>
    <col min="3" max="3" width="18.4296875" customWidth="1"/>
    <col min="4" max="4" width="19.234375" customWidth="1"/>
    <col min="6" max="6" width="25.2890625" bestFit="1" customWidth="1"/>
    <col min="7" max="7" width="25.828125" customWidth="1"/>
    <col min="8" max="8" width="16.140625" bestFit="1" customWidth="1"/>
    <col min="9" max="9" width="16.94921875" bestFit="1" customWidth="1"/>
  </cols>
  <sheetData>
    <row r="1" spans="1:16" ht="15.75" thickBot="1" x14ac:dyDescent="0.25">
      <c r="A1" s="287" t="s">
        <v>77</v>
      </c>
      <c r="B1" s="287"/>
      <c r="C1" s="287"/>
      <c r="D1" s="287"/>
      <c r="F1" s="288" t="s">
        <v>13</v>
      </c>
      <c r="G1" s="288"/>
      <c r="H1" s="288"/>
      <c r="I1" s="288"/>
    </row>
    <row r="2" spans="1:16" ht="30.75" customHeight="1" thickBot="1" x14ac:dyDescent="0.25">
      <c r="A2" s="36" t="s">
        <v>14</v>
      </c>
      <c r="B2" s="37" t="s">
        <v>15</v>
      </c>
      <c r="C2" s="38" t="s">
        <v>16</v>
      </c>
      <c r="D2" s="39" t="s">
        <v>17</v>
      </c>
      <c r="F2" s="36" t="s">
        <v>14</v>
      </c>
      <c r="G2" s="37" t="s">
        <v>15</v>
      </c>
      <c r="H2" s="38" t="s">
        <v>16</v>
      </c>
      <c r="I2" s="39" t="s">
        <v>17</v>
      </c>
    </row>
    <row r="3" spans="1:16" ht="15" customHeight="1" x14ac:dyDescent="0.2">
      <c r="A3" s="282" t="s">
        <v>42</v>
      </c>
      <c r="B3" s="40" t="s">
        <v>9</v>
      </c>
      <c r="C3" s="41">
        <v>1.1205000000000001</v>
      </c>
      <c r="D3" s="42">
        <f t="shared" ref="D3:D16" si="0">C3*18</f>
        <v>20.169</v>
      </c>
      <c r="F3" s="282" t="s">
        <v>39</v>
      </c>
      <c r="G3" s="40" t="s">
        <v>78</v>
      </c>
      <c r="H3" s="43">
        <v>4.4820000000000002</v>
      </c>
      <c r="I3" s="43">
        <f t="shared" ref="I3:I20" si="1">H3*18</f>
        <v>80.676000000000002</v>
      </c>
      <c r="J3" s="265">
        <f>SUM(I3:I4)</f>
        <v>100.845</v>
      </c>
      <c r="K3" s="285" t="s">
        <v>79</v>
      </c>
      <c r="L3" s="286"/>
      <c r="M3" s="286"/>
      <c r="N3" s="286"/>
      <c r="O3" s="286"/>
      <c r="P3" s="286"/>
    </row>
    <row r="4" spans="1:16" ht="15.75" thickBot="1" x14ac:dyDescent="0.25">
      <c r="A4" s="279"/>
      <c r="B4" s="44" t="s">
        <v>10</v>
      </c>
      <c r="C4" s="45">
        <v>4.4820000000000002</v>
      </c>
      <c r="D4" s="46">
        <f t="shared" si="0"/>
        <v>80.676000000000002</v>
      </c>
      <c r="F4" s="283"/>
      <c r="G4" s="47" t="s">
        <v>0</v>
      </c>
      <c r="H4" s="48">
        <v>1.1205000000000001</v>
      </c>
      <c r="I4" s="48">
        <f t="shared" si="1"/>
        <v>20.169</v>
      </c>
      <c r="J4" s="266"/>
      <c r="K4" s="285"/>
      <c r="L4" s="286"/>
      <c r="M4" s="286"/>
      <c r="N4" s="286"/>
      <c r="O4" s="286"/>
      <c r="P4" s="286"/>
    </row>
    <row r="5" spans="1:16" x14ac:dyDescent="0.2">
      <c r="A5" s="279" t="s">
        <v>80</v>
      </c>
      <c r="B5" s="49" t="s">
        <v>52</v>
      </c>
      <c r="C5" s="45">
        <v>1.1205000000000001</v>
      </c>
      <c r="D5" s="46">
        <f t="shared" si="0"/>
        <v>20.169</v>
      </c>
      <c r="F5" s="282" t="s">
        <v>51</v>
      </c>
      <c r="G5" s="50" t="s">
        <v>54</v>
      </c>
      <c r="H5" s="51">
        <v>4.4820000000000002</v>
      </c>
      <c r="I5" s="51">
        <f t="shared" si="1"/>
        <v>80.676000000000002</v>
      </c>
      <c r="J5" s="284">
        <f>SUM(I5:I6)</f>
        <v>100.845</v>
      </c>
    </row>
    <row r="6" spans="1:16" ht="15.75" thickBot="1" x14ac:dyDescent="0.25">
      <c r="A6" s="279"/>
      <c r="B6" s="44" t="s">
        <v>10</v>
      </c>
      <c r="C6" s="45">
        <v>4.4820000000000002</v>
      </c>
      <c r="D6" s="46">
        <f t="shared" si="0"/>
        <v>80.676000000000002</v>
      </c>
      <c r="F6" s="283"/>
      <c r="G6" s="52" t="s">
        <v>0</v>
      </c>
      <c r="H6" s="53">
        <v>1.1205000000000001</v>
      </c>
      <c r="I6" s="53">
        <f t="shared" si="1"/>
        <v>20.169</v>
      </c>
      <c r="J6" s="264"/>
    </row>
    <row r="7" spans="1:16" x14ac:dyDescent="0.2">
      <c r="A7" s="279" t="s">
        <v>44</v>
      </c>
      <c r="B7" s="49" t="s">
        <v>45</v>
      </c>
      <c r="C7" s="45">
        <v>2.2410000000000001</v>
      </c>
      <c r="D7" s="46">
        <f t="shared" si="0"/>
        <v>40.338000000000001</v>
      </c>
      <c r="F7" s="282" t="s">
        <v>44</v>
      </c>
      <c r="G7" s="50" t="s">
        <v>1</v>
      </c>
      <c r="H7" s="51">
        <v>4.4820000000000002</v>
      </c>
      <c r="I7" s="51">
        <f t="shared" si="1"/>
        <v>80.676000000000002</v>
      </c>
      <c r="J7" s="284">
        <f>SUM(I7:I8)</f>
        <v>100.845</v>
      </c>
    </row>
    <row r="8" spans="1:16" ht="15.75" thickBot="1" x14ac:dyDescent="0.25">
      <c r="A8" s="279"/>
      <c r="B8" s="44" t="s">
        <v>81</v>
      </c>
      <c r="C8" s="45">
        <v>3.3614999999999999</v>
      </c>
      <c r="D8" s="46">
        <f t="shared" si="0"/>
        <v>60.506999999999998</v>
      </c>
      <c r="F8" s="283"/>
      <c r="G8" s="52" t="s">
        <v>0</v>
      </c>
      <c r="H8" s="53">
        <v>1.1205000000000001</v>
      </c>
      <c r="I8" s="53">
        <f t="shared" si="1"/>
        <v>20.169</v>
      </c>
      <c r="J8" s="264"/>
    </row>
    <row r="9" spans="1:16" x14ac:dyDescent="0.2">
      <c r="A9" s="279" t="s">
        <v>39</v>
      </c>
      <c r="B9" s="49" t="s">
        <v>9</v>
      </c>
      <c r="C9" s="45">
        <v>1.1205000000000001</v>
      </c>
      <c r="D9" s="46">
        <f t="shared" si="0"/>
        <v>20.169</v>
      </c>
      <c r="F9" s="261" t="s">
        <v>82</v>
      </c>
      <c r="G9" s="50" t="s">
        <v>7</v>
      </c>
      <c r="H9" s="54">
        <v>1.7927999999999999</v>
      </c>
      <c r="I9" s="54">
        <f t="shared" si="1"/>
        <v>32.270400000000002</v>
      </c>
      <c r="J9" s="270">
        <f>SUM(I9:I10)</f>
        <v>99.500400000000013</v>
      </c>
    </row>
    <row r="10" spans="1:16" ht="15.75" thickBot="1" x14ac:dyDescent="0.25">
      <c r="A10" s="279"/>
      <c r="B10" s="44" t="s">
        <v>83</v>
      </c>
      <c r="C10" s="45">
        <v>4.4820000000000002</v>
      </c>
      <c r="D10" s="46">
        <f t="shared" si="0"/>
        <v>80.676000000000002</v>
      </c>
      <c r="F10" s="262"/>
      <c r="G10" s="52" t="s">
        <v>27</v>
      </c>
      <c r="H10" s="55">
        <v>3.7349999999999999</v>
      </c>
      <c r="I10" s="55">
        <f t="shared" si="1"/>
        <v>67.23</v>
      </c>
      <c r="J10" s="271"/>
    </row>
    <row r="11" spans="1:16" x14ac:dyDescent="0.2">
      <c r="A11" s="279" t="s">
        <v>51</v>
      </c>
      <c r="B11" s="49" t="s">
        <v>84</v>
      </c>
      <c r="C11" s="45">
        <v>1.1205000000000001</v>
      </c>
      <c r="D11" s="46">
        <f t="shared" si="0"/>
        <v>20.169</v>
      </c>
      <c r="F11" s="280" t="s">
        <v>47</v>
      </c>
      <c r="G11" s="50" t="s">
        <v>48</v>
      </c>
      <c r="H11" s="54">
        <v>1.3446</v>
      </c>
      <c r="I11" s="54">
        <f t="shared" si="1"/>
        <v>24.2028</v>
      </c>
      <c r="J11" s="270">
        <f>SUM(I11:I12)</f>
        <v>99.837000000000003</v>
      </c>
    </row>
    <row r="12" spans="1:16" ht="15.75" thickBot="1" x14ac:dyDescent="0.25">
      <c r="A12" s="279"/>
      <c r="B12" s="44" t="s">
        <v>85</v>
      </c>
      <c r="C12" s="45">
        <v>4.4820000000000002</v>
      </c>
      <c r="D12" s="46">
        <f t="shared" si="0"/>
        <v>80.676000000000002</v>
      </c>
      <c r="F12" s="281"/>
      <c r="G12" s="52" t="s">
        <v>49</v>
      </c>
      <c r="H12" s="55">
        <v>4.2019000000000002</v>
      </c>
      <c r="I12" s="55">
        <f t="shared" si="1"/>
        <v>75.634200000000007</v>
      </c>
      <c r="J12" s="271"/>
    </row>
    <row r="13" spans="1:16" x14ac:dyDescent="0.2">
      <c r="A13" s="269" t="s">
        <v>86</v>
      </c>
      <c r="B13" s="49" t="s">
        <v>35</v>
      </c>
      <c r="C13" s="45">
        <v>4.4820000000000002</v>
      </c>
      <c r="D13" s="46">
        <f t="shared" si="0"/>
        <v>80.676000000000002</v>
      </c>
      <c r="F13" s="261" t="s">
        <v>39</v>
      </c>
      <c r="G13" s="50" t="s">
        <v>5</v>
      </c>
      <c r="H13" s="54">
        <v>3.3614999999999999</v>
      </c>
      <c r="I13" s="54">
        <f t="shared" si="1"/>
        <v>60.506999999999998</v>
      </c>
      <c r="J13" s="270">
        <f>SUM(I13:I14)</f>
        <v>100.845</v>
      </c>
    </row>
    <row r="14" spans="1:16" ht="15.75" thickBot="1" x14ac:dyDescent="0.25">
      <c r="A14" s="269"/>
      <c r="B14" s="44" t="s">
        <v>0</v>
      </c>
      <c r="C14" s="45">
        <v>1.1205000000000001</v>
      </c>
      <c r="D14" s="46">
        <f t="shared" si="0"/>
        <v>20.169</v>
      </c>
      <c r="F14" s="262"/>
      <c r="G14" s="52" t="s">
        <v>41</v>
      </c>
      <c r="H14" s="55">
        <v>2.2410000000000001</v>
      </c>
      <c r="I14" s="55">
        <f t="shared" si="1"/>
        <v>40.338000000000001</v>
      </c>
      <c r="J14" s="271"/>
    </row>
    <row r="15" spans="1:16" x14ac:dyDescent="0.2">
      <c r="A15" s="269" t="s">
        <v>58</v>
      </c>
      <c r="B15" s="49" t="s">
        <v>2</v>
      </c>
      <c r="C15" s="45">
        <v>1.125</v>
      </c>
      <c r="D15" s="46">
        <f t="shared" si="0"/>
        <v>20.25</v>
      </c>
      <c r="F15" s="261" t="s">
        <v>55</v>
      </c>
      <c r="G15" s="50" t="s">
        <v>56</v>
      </c>
      <c r="H15" s="54">
        <v>2.8012999999999999</v>
      </c>
      <c r="I15" s="54">
        <f t="shared" si="1"/>
        <v>50.423400000000001</v>
      </c>
      <c r="J15" s="270">
        <f>SUM(I15:I16)</f>
        <v>100.8468</v>
      </c>
    </row>
    <row r="16" spans="1:16" ht="15.75" thickBot="1" x14ac:dyDescent="0.25">
      <c r="A16" s="268"/>
      <c r="B16" s="47" t="s">
        <v>3</v>
      </c>
      <c r="C16" s="56">
        <v>4.5</v>
      </c>
      <c r="D16" s="57">
        <f t="shared" si="0"/>
        <v>81</v>
      </c>
      <c r="F16" s="262"/>
      <c r="G16" s="52" t="s">
        <v>57</v>
      </c>
      <c r="H16" s="55">
        <v>2.8012999999999999</v>
      </c>
      <c r="I16" s="55">
        <f t="shared" si="1"/>
        <v>50.423400000000001</v>
      </c>
      <c r="J16" s="271"/>
    </row>
    <row r="17" spans="1:10" ht="15.75" thickBot="1" x14ac:dyDescent="0.25">
      <c r="F17" s="261" t="s">
        <v>87</v>
      </c>
      <c r="G17" s="50" t="s">
        <v>4</v>
      </c>
      <c r="H17" s="58">
        <v>2.6145</v>
      </c>
      <c r="I17" s="54">
        <f t="shared" si="1"/>
        <v>47.061</v>
      </c>
      <c r="J17" s="270">
        <f>SUM(I17:I18)</f>
        <v>100.845</v>
      </c>
    </row>
    <row r="18" spans="1:10" ht="15.75" thickBot="1" x14ac:dyDescent="0.25">
      <c r="A18" s="272" t="s">
        <v>88</v>
      </c>
      <c r="B18" s="273"/>
      <c r="C18" s="273"/>
      <c r="D18" s="274"/>
      <c r="F18" s="262"/>
      <c r="G18" s="52" t="s">
        <v>37</v>
      </c>
      <c r="H18" s="55">
        <v>2.988</v>
      </c>
      <c r="I18" s="55">
        <f t="shared" si="1"/>
        <v>53.783999999999999</v>
      </c>
      <c r="J18" s="271"/>
    </row>
    <row r="19" spans="1:10" ht="15.75" thickBot="1" x14ac:dyDescent="0.25">
      <c r="A19" s="275"/>
      <c r="B19" s="276"/>
      <c r="C19" s="276"/>
      <c r="D19" s="277"/>
      <c r="F19" s="261" t="s">
        <v>89</v>
      </c>
      <c r="G19" s="50" t="s">
        <v>4</v>
      </c>
      <c r="H19" s="54">
        <v>2.6145</v>
      </c>
      <c r="I19" s="54">
        <f t="shared" si="1"/>
        <v>47.061</v>
      </c>
      <c r="J19" s="270">
        <f>SUM(I19:I20)</f>
        <v>100.845</v>
      </c>
    </row>
    <row r="20" spans="1:10" ht="15.75" thickBot="1" x14ac:dyDescent="0.25">
      <c r="F20" s="262"/>
      <c r="G20" s="52" t="s">
        <v>43</v>
      </c>
      <c r="H20" s="55">
        <v>2.988</v>
      </c>
      <c r="I20" s="55">
        <f t="shared" si="1"/>
        <v>53.783999999999999</v>
      </c>
      <c r="J20" s="278"/>
    </row>
    <row r="21" spans="1:10" x14ac:dyDescent="0.2">
      <c r="F21" s="267" t="s">
        <v>90</v>
      </c>
      <c r="G21" s="40" t="s">
        <v>31</v>
      </c>
      <c r="H21" s="43">
        <v>2.0916000000000001</v>
      </c>
      <c r="I21" s="43">
        <f>H21*18</f>
        <v>37.648800000000001</v>
      </c>
      <c r="J21" s="263">
        <f>SUM(I21:I22)</f>
        <v>98.155799999999999</v>
      </c>
    </row>
    <row r="22" spans="1:10" ht="15.75" thickBot="1" x14ac:dyDescent="0.25">
      <c r="F22" s="268"/>
      <c r="G22" s="47" t="s">
        <v>23</v>
      </c>
      <c r="H22" s="48">
        <v>3.3614999999999999</v>
      </c>
      <c r="I22" s="48">
        <f>H22*18</f>
        <v>60.506999999999998</v>
      </c>
      <c r="J22" s="264"/>
    </row>
    <row r="23" spans="1:10" x14ac:dyDescent="0.2">
      <c r="F23" s="261" t="s">
        <v>39</v>
      </c>
      <c r="G23" s="50" t="s">
        <v>40</v>
      </c>
      <c r="H23" s="54">
        <v>2.2410000000000001</v>
      </c>
      <c r="I23" s="54">
        <f t="shared" ref="I23:I28" si="2">H23*18</f>
        <v>40.338000000000001</v>
      </c>
      <c r="J23" s="263">
        <f>SUM(I23:I24)</f>
        <v>100.845</v>
      </c>
    </row>
    <row r="24" spans="1:10" ht="15.75" thickBot="1" x14ac:dyDescent="0.25">
      <c r="F24" s="262"/>
      <c r="G24" s="52" t="s">
        <v>23</v>
      </c>
      <c r="H24" s="55">
        <v>3.3614999999999999</v>
      </c>
      <c r="I24" s="55">
        <f t="shared" si="2"/>
        <v>60.506999999999998</v>
      </c>
      <c r="J24" s="264"/>
    </row>
    <row r="25" spans="1:10" x14ac:dyDescent="0.2">
      <c r="F25" s="261" t="s">
        <v>58</v>
      </c>
      <c r="G25" s="50" t="s">
        <v>2</v>
      </c>
      <c r="H25" s="59">
        <v>1.125</v>
      </c>
      <c r="I25" s="54">
        <f t="shared" si="2"/>
        <v>20.25</v>
      </c>
      <c r="J25" s="263">
        <f>SUM(I25:I26)</f>
        <v>101.25</v>
      </c>
    </row>
    <row r="26" spans="1:10" ht="15.75" thickBot="1" x14ac:dyDescent="0.25">
      <c r="F26" s="262"/>
      <c r="G26" s="52" t="s">
        <v>3</v>
      </c>
      <c r="H26" s="60">
        <v>4.5</v>
      </c>
      <c r="I26" s="55">
        <f t="shared" si="2"/>
        <v>81</v>
      </c>
      <c r="J26" s="264"/>
    </row>
    <row r="27" spans="1:10" x14ac:dyDescent="0.2">
      <c r="F27" s="261" t="s">
        <v>91</v>
      </c>
      <c r="G27" s="50" t="s">
        <v>12</v>
      </c>
      <c r="H27" s="43">
        <v>4.4820000000000002</v>
      </c>
      <c r="I27" s="43">
        <f t="shared" si="2"/>
        <v>80.676000000000002</v>
      </c>
      <c r="J27" s="265">
        <f>SUM(I27:I28)</f>
        <v>100.845</v>
      </c>
    </row>
    <row r="28" spans="1:10" ht="15.75" thickBot="1" x14ac:dyDescent="0.25">
      <c r="F28" s="262"/>
      <c r="G28" s="52" t="s">
        <v>46</v>
      </c>
      <c r="H28" s="48">
        <v>1.1205000000000001</v>
      </c>
      <c r="I28" s="48">
        <f t="shared" si="2"/>
        <v>20.169</v>
      </c>
      <c r="J28" s="266"/>
    </row>
    <row r="29" spans="1:10" ht="15.75" thickBot="1" x14ac:dyDescent="0.25">
      <c r="F29" s="61"/>
      <c r="G29" s="62"/>
      <c r="H29" s="62"/>
      <c r="I29" s="62"/>
      <c r="J29" s="63"/>
    </row>
    <row r="30" spans="1:10" ht="15.75" thickBot="1" x14ac:dyDescent="0.25">
      <c r="F30" s="258" t="s">
        <v>92</v>
      </c>
      <c r="G30" s="259"/>
      <c r="H30" s="259"/>
      <c r="I30" s="259"/>
      <c r="J30" s="260"/>
    </row>
  </sheetData>
  <mergeCells count="38">
    <mergeCell ref="K3:P4"/>
    <mergeCell ref="A1:D1"/>
    <mergeCell ref="F1:I1"/>
    <mergeCell ref="A3:A4"/>
    <mergeCell ref="F3:F4"/>
    <mergeCell ref="J3:J4"/>
    <mergeCell ref="A5:A6"/>
    <mergeCell ref="F5:F6"/>
    <mergeCell ref="J5:J6"/>
    <mergeCell ref="A7:A8"/>
    <mergeCell ref="F7:F8"/>
    <mergeCell ref="J7:J8"/>
    <mergeCell ref="A9:A10"/>
    <mergeCell ref="F9:F10"/>
    <mergeCell ref="J9:J10"/>
    <mergeCell ref="A11:A12"/>
    <mergeCell ref="F11:F12"/>
    <mergeCell ref="J11:J12"/>
    <mergeCell ref="F21:F22"/>
    <mergeCell ref="J21:J22"/>
    <mergeCell ref="A13:A14"/>
    <mergeCell ref="F13:F14"/>
    <mergeCell ref="J13:J14"/>
    <mergeCell ref="A15:A16"/>
    <mergeCell ref="F15:F16"/>
    <mergeCell ref="J15:J16"/>
    <mergeCell ref="F17:F18"/>
    <mergeCell ref="J17:J18"/>
    <mergeCell ref="A18:D19"/>
    <mergeCell ref="F19:F20"/>
    <mergeCell ref="J19:J20"/>
    <mergeCell ref="F30:J30"/>
    <mergeCell ref="F23:F24"/>
    <mergeCell ref="J23:J24"/>
    <mergeCell ref="F25:F26"/>
    <mergeCell ref="J25:J26"/>
    <mergeCell ref="F27:F28"/>
    <mergeCell ref="J27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69"/>
  <sheetViews>
    <sheetView workbookViewId="0">
      <selection activeCell="E15" sqref="E15"/>
    </sheetView>
  </sheetViews>
  <sheetFormatPr defaultRowHeight="15" x14ac:dyDescent="0.2"/>
  <cols>
    <col min="1" max="1" width="10.35546875" customWidth="1"/>
    <col min="2" max="2" width="7.80078125" customWidth="1"/>
    <col min="3" max="3" width="11.02734375" customWidth="1"/>
    <col min="4" max="4" width="9.953125" customWidth="1"/>
    <col min="5" max="5" width="8.609375" customWidth="1"/>
    <col min="6" max="7" width="8.7421875" customWidth="1"/>
    <col min="8" max="8" width="14.66015625" customWidth="1"/>
    <col min="9" max="11" width="8.33984375" hidden="1" customWidth="1"/>
    <col min="12" max="12" width="16.0078125" customWidth="1"/>
    <col min="13" max="13" width="35.37890625" customWidth="1"/>
    <col min="14" max="14" width="4.70703125" customWidth="1"/>
    <col min="15" max="15" width="68.60546875" customWidth="1"/>
    <col min="16" max="16" width="11.43359375" customWidth="1"/>
    <col min="17" max="17" width="12.64453125" customWidth="1"/>
    <col min="18" max="18" width="13.44921875" style="66" customWidth="1"/>
    <col min="19" max="19" width="8.33984375" customWidth="1"/>
    <col min="20" max="20" width="5.51171875" customWidth="1"/>
    <col min="21" max="21" width="24.6171875" customWidth="1"/>
    <col min="23" max="23" width="4.5703125" customWidth="1"/>
    <col min="24" max="24" width="20.17578125" customWidth="1"/>
    <col min="26" max="26" width="4.70703125" customWidth="1"/>
    <col min="27" max="27" width="16.140625" customWidth="1"/>
    <col min="30" max="30" width="11.296875" customWidth="1"/>
  </cols>
  <sheetData>
    <row r="1" spans="1:30" ht="14.45" customHeight="1" x14ac:dyDescent="0.2">
      <c r="A1" s="64" t="s">
        <v>93</v>
      </c>
      <c r="C1" s="65" t="s">
        <v>94</v>
      </c>
    </row>
    <row r="2" spans="1:30" ht="11.45" customHeight="1" x14ac:dyDescent="0.2">
      <c r="A2" s="64" t="s">
        <v>95</v>
      </c>
      <c r="C2" s="65" t="s">
        <v>96</v>
      </c>
      <c r="I2" t="s">
        <v>97</v>
      </c>
    </row>
    <row r="3" spans="1:30" ht="11.45" customHeight="1" x14ac:dyDescent="0.2">
      <c r="A3" s="64" t="s">
        <v>98</v>
      </c>
      <c r="C3" s="65" t="s">
        <v>99</v>
      </c>
    </row>
    <row r="4" spans="1:30" ht="7.15" customHeight="1" x14ac:dyDescent="0.2"/>
    <row r="5" spans="1:30" ht="15.6" customHeight="1" x14ac:dyDescent="0.25">
      <c r="A5" s="302" t="s">
        <v>100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spans="1:30" ht="12" customHeight="1" x14ac:dyDescent="0.2">
      <c r="A6" s="303" t="s">
        <v>101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spans="1:30" ht="17.45" customHeight="1" x14ac:dyDescent="0.2">
      <c r="D7" s="67" t="s">
        <v>102</v>
      </c>
      <c r="E7" s="68" t="s">
        <v>103</v>
      </c>
      <c r="F7" s="69" t="s">
        <v>104</v>
      </c>
      <c r="G7" s="69"/>
      <c r="N7" s="70"/>
    </row>
    <row r="8" spans="1:30" ht="7.9" customHeight="1" x14ac:dyDescent="0.2">
      <c r="D8" s="71" t="s">
        <v>105</v>
      </c>
      <c r="N8" s="70"/>
    </row>
    <row r="9" spans="1:30" ht="12.4" customHeight="1" x14ac:dyDescent="0.2">
      <c r="A9" s="72" t="s">
        <v>106</v>
      </c>
      <c r="B9" s="65" t="s">
        <v>107</v>
      </c>
      <c r="D9" s="73" t="s">
        <v>108</v>
      </c>
      <c r="N9" s="74"/>
    </row>
    <row r="10" spans="1:30" ht="12.4" customHeight="1" thickBot="1" x14ac:dyDescent="0.25">
      <c r="A10" s="75" t="s">
        <v>109</v>
      </c>
      <c r="B10" s="76" t="s">
        <v>110</v>
      </c>
      <c r="D10" s="77"/>
      <c r="E10" s="78"/>
      <c r="F10" s="78"/>
      <c r="G10" s="78"/>
      <c r="H10" s="78"/>
      <c r="I10" s="78"/>
      <c r="J10" s="78"/>
      <c r="K10" s="78"/>
      <c r="N10" s="74"/>
    </row>
    <row r="11" spans="1:30" ht="13.15" customHeight="1" x14ac:dyDescent="0.2">
      <c r="A11" s="323" t="s">
        <v>111</v>
      </c>
      <c r="B11" s="324"/>
      <c r="C11" s="324"/>
      <c r="D11" s="324"/>
      <c r="E11" s="79" t="s">
        <v>112</v>
      </c>
      <c r="F11" s="327" t="s">
        <v>113</v>
      </c>
      <c r="G11" s="80" t="s">
        <v>114</v>
      </c>
      <c r="H11" s="329" t="s">
        <v>115</v>
      </c>
      <c r="I11" s="330"/>
      <c r="J11" s="314"/>
      <c r="K11" s="314"/>
      <c r="N11" s="74"/>
    </row>
    <row r="12" spans="1:30" ht="11.45" customHeight="1" thickBot="1" x14ac:dyDescent="0.25">
      <c r="A12" s="325"/>
      <c r="B12" s="326"/>
      <c r="C12" s="326"/>
      <c r="D12" s="326"/>
      <c r="E12" s="81" t="s">
        <v>116</v>
      </c>
      <c r="F12" s="328"/>
      <c r="G12" s="82" t="s">
        <v>117</v>
      </c>
      <c r="H12" s="83" t="s">
        <v>118</v>
      </c>
      <c r="I12" s="84" t="s">
        <v>119</v>
      </c>
      <c r="J12" s="314"/>
      <c r="K12" s="314"/>
    </row>
    <row r="13" spans="1:30" ht="12.6" customHeight="1" thickBot="1" x14ac:dyDescent="0.25">
      <c r="A13" s="315">
        <v>1</v>
      </c>
      <c r="B13" s="316"/>
      <c r="C13" s="316"/>
      <c r="D13" s="317"/>
      <c r="E13" s="85">
        <v>2</v>
      </c>
      <c r="F13" s="86">
        <v>4</v>
      </c>
      <c r="G13" s="85">
        <v>3</v>
      </c>
      <c r="H13" s="85">
        <v>5</v>
      </c>
      <c r="I13" s="86">
        <v>6</v>
      </c>
      <c r="J13" s="87"/>
      <c r="K13" s="87"/>
      <c r="N13" s="88" t="s">
        <v>114</v>
      </c>
      <c r="O13" s="88" t="s">
        <v>120</v>
      </c>
    </row>
    <row r="14" spans="1:30" ht="16.149999999999999" customHeight="1" thickBot="1" x14ac:dyDescent="0.25">
      <c r="A14" s="318" t="str">
        <f>INDEX(O74:O163, N14)</f>
        <v xml:space="preserve"> (ж/д)     625*240*249-</v>
      </c>
      <c r="B14" s="319"/>
      <c r="C14" s="89"/>
      <c r="D14" s="90"/>
      <c r="E14" s="91">
        <v>500</v>
      </c>
      <c r="F14" s="92" t="s">
        <v>122</v>
      </c>
      <c r="G14" s="93">
        <v>3</v>
      </c>
      <c r="H14" s="94">
        <f t="shared" ref="H14:H22" si="0">E14*O14</f>
        <v>747</v>
      </c>
      <c r="I14" s="95">
        <f t="shared" ref="I14:I22" si="1">H14</f>
        <v>747</v>
      </c>
      <c r="J14" s="96"/>
      <c r="K14" s="96"/>
      <c r="N14" s="88">
        <v>43</v>
      </c>
      <c r="O14" s="97">
        <f>INDEX(R74:R165, N14)</f>
        <v>1.494</v>
      </c>
    </row>
    <row r="15" spans="1:30" ht="15.75" thickBot="1" x14ac:dyDescent="0.25">
      <c r="A15" s="318">
        <f>INDEX(O74:O164, N15)</f>
        <v>0</v>
      </c>
      <c r="B15" s="319"/>
      <c r="C15" s="98"/>
      <c r="D15" s="90"/>
      <c r="E15" s="91"/>
      <c r="F15" s="99" t="s">
        <v>122</v>
      </c>
      <c r="G15" s="91">
        <v>3</v>
      </c>
      <c r="H15" s="94">
        <f t="shared" si="0"/>
        <v>0</v>
      </c>
      <c r="I15" s="95">
        <f t="shared" si="1"/>
        <v>0</v>
      </c>
      <c r="J15" s="96"/>
      <c r="K15" s="96"/>
      <c r="N15" s="88">
        <v>76</v>
      </c>
      <c r="O15" s="100">
        <f>INDEX(R74:R165, N15)</f>
        <v>0</v>
      </c>
      <c r="T15" s="101" t="s">
        <v>114</v>
      </c>
      <c r="U15" s="102" t="s">
        <v>123</v>
      </c>
      <c r="W15" s="101" t="s">
        <v>114</v>
      </c>
      <c r="X15" s="103" t="s">
        <v>124</v>
      </c>
      <c r="Z15" s="104" t="s">
        <v>114</v>
      </c>
      <c r="AA15" s="105" t="s">
        <v>125</v>
      </c>
    </row>
    <row r="16" spans="1:30" x14ac:dyDescent="0.2">
      <c r="A16" s="320">
        <f>INDEX(O74:O165, N16)</f>
        <v>0</v>
      </c>
      <c r="B16" s="321"/>
      <c r="C16" s="89"/>
      <c r="D16" s="90"/>
      <c r="E16" s="91"/>
      <c r="F16" s="99" t="s">
        <v>122</v>
      </c>
      <c r="G16" s="106">
        <v>3</v>
      </c>
      <c r="H16" s="94">
        <f t="shared" si="0"/>
        <v>0</v>
      </c>
      <c r="I16" s="95">
        <f t="shared" si="1"/>
        <v>0</v>
      </c>
      <c r="J16" s="96"/>
      <c r="K16" s="96"/>
      <c r="N16" s="88">
        <v>36</v>
      </c>
      <c r="O16" s="100">
        <f>INDEX(R74:R165, N16)</f>
        <v>0</v>
      </c>
      <c r="T16" s="107">
        <v>1</v>
      </c>
      <c r="U16" s="108" t="s">
        <v>108</v>
      </c>
      <c r="W16" s="107">
        <v>1</v>
      </c>
      <c r="X16" s="88" t="s">
        <v>126</v>
      </c>
      <c r="Z16" s="108">
        <v>1</v>
      </c>
      <c r="AA16" s="109">
        <v>1</v>
      </c>
      <c r="AD16" s="88" t="s">
        <v>127</v>
      </c>
    </row>
    <row r="17" spans="1:30" x14ac:dyDescent="0.2">
      <c r="A17" s="320">
        <f>INDEX(O74:O166, N17)</f>
        <v>0</v>
      </c>
      <c r="B17" s="321"/>
      <c r="C17" s="98"/>
      <c r="D17" s="90"/>
      <c r="E17" s="91"/>
      <c r="F17" s="99" t="s">
        <v>122</v>
      </c>
      <c r="G17" s="91">
        <v>3</v>
      </c>
      <c r="H17" s="94">
        <f t="shared" si="0"/>
        <v>0</v>
      </c>
      <c r="I17" s="95">
        <f t="shared" si="1"/>
        <v>0</v>
      </c>
      <c r="J17" s="96"/>
      <c r="K17" s="96"/>
      <c r="N17" s="88">
        <v>81</v>
      </c>
      <c r="O17" s="100">
        <f>INDEX(R74:R165, N17)</f>
        <v>0</v>
      </c>
      <c r="T17" s="107">
        <v>2</v>
      </c>
      <c r="U17" s="88" t="s">
        <v>128</v>
      </c>
      <c r="W17" s="110">
        <v>2</v>
      </c>
      <c r="X17" s="88" t="s">
        <v>129</v>
      </c>
      <c r="Z17" s="88">
        <v>2</v>
      </c>
      <c r="AA17" s="111" t="s">
        <v>130</v>
      </c>
      <c r="AD17" s="88" t="s">
        <v>121</v>
      </c>
    </row>
    <row r="18" spans="1:30" x14ac:dyDescent="0.2">
      <c r="A18" s="320">
        <f>INDEX(O74:O167, N18)</f>
        <v>0</v>
      </c>
      <c r="B18" s="321"/>
      <c r="C18" s="89"/>
      <c r="D18" s="90"/>
      <c r="E18" s="112"/>
      <c r="F18" s="99" t="s">
        <v>122</v>
      </c>
      <c r="G18" s="91">
        <v>4</v>
      </c>
      <c r="H18" s="94">
        <f t="shared" si="0"/>
        <v>0</v>
      </c>
      <c r="I18" s="95">
        <f t="shared" si="1"/>
        <v>0</v>
      </c>
      <c r="J18" s="96"/>
      <c r="K18" s="96"/>
      <c r="N18" s="88">
        <v>36</v>
      </c>
      <c r="O18" s="100">
        <f>INDEX(R74:R165, N18)</f>
        <v>0</v>
      </c>
      <c r="T18" s="107">
        <v>3</v>
      </c>
      <c r="U18" s="88" t="s">
        <v>131</v>
      </c>
      <c r="W18" s="107">
        <v>3</v>
      </c>
      <c r="X18" s="88"/>
      <c r="Z18" s="108">
        <v>3</v>
      </c>
      <c r="AA18" s="111" t="s">
        <v>132</v>
      </c>
      <c r="AD18" s="88" t="s">
        <v>133</v>
      </c>
    </row>
    <row r="19" spans="1:30" x14ac:dyDescent="0.2">
      <c r="A19" s="320">
        <f>INDEX(O74:O168, N19)</f>
        <v>0</v>
      </c>
      <c r="B19" s="321"/>
      <c r="C19" s="98"/>
      <c r="D19" s="90"/>
      <c r="E19" s="91"/>
      <c r="F19" s="99" t="s">
        <v>122</v>
      </c>
      <c r="G19" s="91">
        <v>4</v>
      </c>
      <c r="H19" s="94">
        <f t="shared" si="0"/>
        <v>0</v>
      </c>
      <c r="I19" s="95">
        <f t="shared" si="1"/>
        <v>0</v>
      </c>
      <c r="J19" s="96"/>
      <c r="K19" s="96"/>
      <c r="N19" s="88">
        <v>82</v>
      </c>
      <c r="O19" s="100">
        <f>INDEX(R74:R165, N19)</f>
        <v>0</v>
      </c>
      <c r="T19" s="107">
        <v>4</v>
      </c>
      <c r="U19" s="88" t="s">
        <v>134</v>
      </c>
      <c r="W19" s="110">
        <v>4</v>
      </c>
      <c r="X19" s="88"/>
      <c r="Z19" s="88">
        <v>4</v>
      </c>
      <c r="AA19" s="111" t="s">
        <v>135</v>
      </c>
      <c r="AD19" s="88" t="s">
        <v>136</v>
      </c>
    </row>
    <row r="20" spans="1:30" x14ac:dyDescent="0.2">
      <c r="A20" s="320">
        <f>INDEX(O74:O169, N20)</f>
        <v>0</v>
      </c>
      <c r="B20" s="321"/>
      <c r="C20" s="89"/>
      <c r="D20" s="90"/>
      <c r="E20" s="113"/>
      <c r="F20" s="114" t="s">
        <v>122</v>
      </c>
      <c r="G20" s="93"/>
      <c r="H20" s="115">
        <f t="shared" si="0"/>
        <v>0</v>
      </c>
      <c r="I20" s="116">
        <f t="shared" si="1"/>
        <v>0</v>
      </c>
      <c r="J20" s="96"/>
      <c r="K20" s="96"/>
      <c r="N20" s="88">
        <v>36</v>
      </c>
      <c r="O20" s="100">
        <f>INDEX(R74:R165, N20)</f>
        <v>0</v>
      </c>
      <c r="T20" s="107">
        <v>5</v>
      </c>
      <c r="U20" s="88" t="s">
        <v>137</v>
      </c>
      <c r="W20" s="107">
        <v>5</v>
      </c>
      <c r="X20" s="88"/>
      <c r="Z20" s="108">
        <v>5</v>
      </c>
      <c r="AA20" s="111">
        <v>3</v>
      </c>
      <c r="AD20" s="88" t="s">
        <v>138</v>
      </c>
    </row>
    <row r="21" spans="1:30" x14ac:dyDescent="0.2">
      <c r="A21" s="320">
        <f>INDEX(O74:O170, N21)</f>
        <v>0</v>
      </c>
      <c r="B21" s="321"/>
      <c r="C21" s="98"/>
      <c r="D21" s="90"/>
      <c r="E21" s="91"/>
      <c r="F21" s="99" t="s">
        <v>122</v>
      </c>
      <c r="G21" s="91"/>
      <c r="H21" s="94">
        <f t="shared" si="0"/>
        <v>0</v>
      </c>
      <c r="I21" s="94">
        <f t="shared" si="1"/>
        <v>0</v>
      </c>
      <c r="J21" s="96"/>
      <c r="K21" s="96"/>
      <c r="N21" s="88">
        <v>83</v>
      </c>
      <c r="O21" s="117">
        <f>INDEX(R74:R165, N21)</f>
        <v>0</v>
      </c>
      <c r="T21" s="118"/>
      <c r="U21" s="78"/>
      <c r="W21" s="107"/>
      <c r="X21" s="88"/>
      <c r="Z21" s="88">
        <v>6</v>
      </c>
      <c r="AA21" s="88"/>
      <c r="AD21" s="88"/>
    </row>
    <row r="22" spans="1:30" ht="15.75" thickBot="1" x14ac:dyDescent="0.25">
      <c r="A22" s="320">
        <f>INDEX(O74:O171, N22)</f>
        <v>0</v>
      </c>
      <c r="B22" s="321"/>
      <c r="C22" s="119"/>
      <c r="D22" s="120"/>
      <c r="E22" s="121"/>
      <c r="F22" s="122" t="s">
        <v>122</v>
      </c>
      <c r="G22" s="121"/>
      <c r="H22" s="123">
        <f t="shared" si="0"/>
        <v>0</v>
      </c>
      <c r="I22" s="124">
        <f t="shared" si="1"/>
        <v>0</v>
      </c>
      <c r="J22" s="96"/>
      <c r="K22" s="96"/>
      <c r="N22" s="88">
        <v>84</v>
      </c>
      <c r="O22" s="117">
        <f>INDEX(R74:R165, N22)</f>
        <v>0</v>
      </c>
      <c r="T22" s="118"/>
      <c r="U22" s="78"/>
      <c r="W22" s="107"/>
      <c r="X22" s="88"/>
      <c r="AD22" s="88"/>
    </row>
    <row r="23" spans="1:30" ht="15.75" thickBot="1" x14ac:dyDescent="0.25">
      <c r="A23" s="125" t="s">
        <v>11</v>
      </c>
      <c r="B23" s="126"/>
      <c r="C23" s="126"/>
      <c r="D23" s="127" t="s">
        <v>139</v>
      </c>
      <c r="E23" s="128">
        <f>SUM(E14:E22)</f>
        <v>500</v>
      </c>
      <c r="F23" s="129" t="s">
        <v>122</v>
      </c>
      <c r="G23" s="130"/>
      <c r="H23" s="131">
        <f>SUM(H14:H22)</f>
        <v>747</v>
      </c>
      <c r="I23" s="132">
        <f>SUM(I14:I22)</f>
        <v>747</v>
      </c>
      <c r="J23" s="96"/>
      <c r="K23" s="75"/>
      <c r="W23" s="110"/>
      <c r="X23" s="88"/>
      <c r="AD23" s="88"/>
    </row>
    <row r="24" spans="1:30" ht="21" customHeight="1" x14ac:dyDescent="0.2">
      <c r="A24" t="s">
        <v>140</v>
      </c>
      <c r="B24" s="322" t="s">
        <v>141</v>
      </c>
      <c r="C24" s="322"/>
      <c r="D24" s="133"/>
      <c r="E24" s="134"/>
      <c r="F24" s="135"/>
      <c r="G24" s="135"/>
      <c r="H24" s="135"/>
      <c r="I24" s="136" t="str">
        <f>D9</f>
        <v>Ходачинский П.В.</v>
      </c>
      <c r="J24" s="136"/>
      <c r="K24" s="136"/>
      <c r="W24" s="107"/>
      <c r="X24" s="88"/>
      <c r="AD24" s="88"/>
    </row>
    <row r="25" spans="1:30" ht="12.75" customHeight="1" x14ac:dyDescent="0.2">
      <c r="B25" s="137"/>
      <c r="C25" s="137"/>
      <c r="D25" s="301" t="s">
        <v>142</v>
      </c>
      <c r="E25" s="301"/>
      <c r="F25" s="301"/>
      <c r="G25" s="301"/>
      <c r="H25" s="301"/>
      <c r="I25" s="137"/>
    </row>
    <row r="26" spans="1:30" ht="5.25" customHeight="1" x14ac:dyDescent="0.2">
      <c r="A26" s="298" t="s">
        <v>143</v>
      </c>
      <c r="B26" s="298"/>
      <c r="C26" s="137"/>
      <c r="D26" s="299"/>
      <c r="E26" s="299"/>
      <c r="F26" s="299"/>
      <c r="G26" s="299"/>
      <c r="H26" s="299"/>
      <c r="I26" s="300">
        <f>D10</f>
        <v>0</v>
      </c>
      <c r="J26" s="300"/>
    </row>
    <row r="27" spans="1:30" ht="21.75" customHeight="1" x14ac:dyDescent="0.2">
      <c r="D27" s="301" t="s">
        <v>142</v>
      </c>
      <c r="E27" s="301"/>
      <c r="F27" s="301"/>
      <c r="G27" s="301"/>
      <c r="H27" s="301"/>
    </row>
    <row r="28" spans="1:30" ht="38.25" customHeight="1" x14ac:dyDescent="0.2">
      <c r="A28" s="138" t="s">
        <v>144</v>
      </c>
      <c r="I28" s="139"/>
      <c r="M28" s="140" t="s">
        <v>145</v>
      </c>
    </row>
    <row r="29" spans="1:30" ht="13.15" customHeight="1" x14ac:dyDescent="0.2">
      <c r="A29" s="64" t="s">
        <v>93</v>
      </c>
      <c r="C29" s="65" t="s">
        <v>94</v>
      </c>
    </row>
    <row r="30" spans="1:30" ht="13.5" customHeight="1" x14ac:dyDescent="0.2">
      <c r="A30" s="64" t="s">
        <v>95</v>
      </c>
      <c r="C30" s="65" t="str">
        <f>C2</f>
        <v>Цех по производству блоков из ячеистого бетона</v>
      </c>
      <c r="I30" t="s">
        <v>97</v>
      </c>
    </row>
    <row r="31" spans="1:30" ht="11.45" customHeight="1" x14ac:dyDescent="0.2">
      <c r="A31" s="64" t="s">
        <v>98</v>
      </c>
      <c r="C31" s="65" t="str">
        <f>C3</f>
        <v>Готовой продукции</v>
      </c>
    </row>
    <row r="32" spans="1:30" ht="5.45" customHeight="1" x14ac:dyDescent="0.2"/>
    <row r="33" spans="1:11" customFormat="1" ht="18.75" x14ac:dyDescent="0.25">
      <c r="A33" s="302" t="s">
        <v>100</v>
      </c>
      <c r="B33" s="298"/>
      <c r="C33" s="298"/>
      <c r="D33" s="298"/>
      <c r="E33" s="298"/>
      <c r="F33" s="298"/>
      <c r="G33" s="298"/>
      <c r="H33" s="298"/>
      <c r="I33" s="298"/>
      <c r="J33" s="298"/>
      <c r="K33" s="298"/>
    </row>
    <row r="34" spans="1:11" customFormat="1" x14ac:dyDescent="0.2">
      <c r="A34" s="303" t="s">
        <v>101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  <row r="35" spans="1:11" customFormat="1" x14ac:dyDescent="0.2">
      <c r="D35" s="67" t="str">
        <f>D7</f>
        <v>" 07 "</v>
      </c>
      <c r="E35" s="141" t="str">
        <f>E7</f>
        <v>февраля</v>
      </c>
      <c r="F35" s="69" t="str">
        <f>F7</f>
        <v>2019г.</v>
      </c>
      <c r="G35" s="69"/>
    </row>
    <row r="36" spans="1:11" customFormat="1" x14ac:dyDescent="0.2">
      <c r="D36" s="71" t="s">
        <v>105</v>
      </c>
    </row>
    <row r="37" spans="1:11" customFormat="1" x14ac:dyDescent="0.2">
      <c r="A37" s="72" t="s">
        <v>106</v>
      </c>
      <c r="B37" s="65" t="s">
        <v>107</v>
      </c>
      <c r="D37" s="73" t="str">
        <f>D9</f>
        <v>Ходачинский П.В.</v>
      </c>
    </row>
    <row r="38" spans="1:11" customFormat="1" ht="15.75" thickBot="1" x14ac:dyDescent="0.25">
      <c r="A38" s="75" t="s">
        <v>109</v>
      </c>
      <c r="B38" s="76" t="s">
        <v>110</v>
      </c>
      <c r="D38">
        <f>D10</f>
        <v>0</v>
      </c>
      <c r="E38" s="73"/>
      <c r="F38" s="78"/>
      <c r="G38" s="78"/>
      <c r="H38" s="78"/>
      <c r="I38" s="78"/>
      <c r="J38" s="78"/>
      <c r="K38" s="78"/>
    </row>
    <row r="39" spans="1:11" customFormat="1" x14ac:dyDescent="0.2">
      <c r="A39" s="304" t="s">
        <v>111</v>
      </c>
      <c r="B39" s="305"/>
      <c r="C39" s="305"/>
      <c r="D39" s="306"/>
      <c r="E39" s="142" t="s">
        <v>112</v>
      </c>
      <c r="F39" s="310" t="s">
        <v>113</v>
      </c>
      <c r="G39" s="143" t="s">
        <v>114</v>
      </c>
      <c r="H39" s="312" t="s">
        <v>115</v>
      </c>
      <c r="I39" s="313"/>
      <c r="J39" s="314"/>
      <c r="K39" s="314"/>
    </row>
    <row r="40" spans="1:11" customFormat="1" ht="15.75" thickBot="1" x14ac:dyDescent="0.25">
      <c r="A40" s="307"/>
      <c r="B40" s="308"/>
      <c r="C40" s="308"/>
      <c r="D40" s="309"/>
      <c r="E40" s="144" t="s">
        <v>116</v>
      </c>
      <c r="F40" s="311"/>
      <c r="G40" s="83" t="s">
        <v>117</v>
      </c>
      <c r="H40" s="145" t="s">
        <v>118</v>
      </c>
      <c r="I40" s="146" t="s">
        <v>119</v>
      </c>
      <c r="J40" s="314"/>
      <c r="K40" s="314"/>
    </row>
    <row r="41" spans="1:11" customFormat="1" ht="15.75" thickBot="1" x14ac:dyDescent="0.25">
      <c r="A41" s="295">
        <v>1</v>
      </c>
      <c r="B41" s="296"/>
      <c r="C41" s="296"/>
      <c r="D41" s="297"/>
      <c r="E41" s="147">
        <v>2</v>
      </c>
      <c r="F41" s="148">
        <v>4</v>
      </c>
      <c r="G41" s="149">
        <v>3</v>
      </c>
      <c r="H41" s="150">
        <v>5</v>
      </c>
      <c r="I41" s="85">
        <v>6</v>
      </c>
      <c r="J41" s="87"/>
      <c r="K41" s="87"/>
    </row>
    <row r="42" spans="1:11" customFormat="1" x14ac:dyDescent="0.2">
      <c r="A42" s="289" t="str">
        <f t="shared" ref="A42:A50" si="2">A14</f>
        <v xml:space="preserve"> (ж/д)     625*240*249-</v>
      </c>
      <c r="B42" s="290"/>
      <c r="C42" s="151">
        <f>C14</f>
        <v>0</v>
      </c>
      <c r="D42" s="152">
        <f t="shared" ref="D42:E50" si="3">D14</f>
        <v>0</v>
      </c>
      <c r="E42" s="153">
        <f t="shared" si="3"/>
        <v>500</v>
      </c>
      <c r="F42" s="153" t="s">
        <v>122</v>
      </c>
      <c r="G42" s="154">
        <f t="shared" ref="G42:I51" si="4">G14</f>
        <v>3</v>
      </c>
      <c r="H42" s="155">
        <f t="shared" si="4"/>
        <v>747</v>
      </c>
      <c r="I42" s="156">
        <f t="shared" si="4"/>
        <v>747</v>
      </c>
      <c r="J42" s="96"/>
      <c r="K42" s="96"/>
    </row>
    <row r="43" spans="1:11" customFormat="1" x14ac:dyDescent="0.2">
      <c r="A43" s="291">
        <f>A15</f>
        <v>0</v>
      </c>
      <c r="B43" s="292"/>
      <c r="C43" s="136">
        <f>C15</f>
        <v>0</v>
      </c>
      <c r="D43" s="157">
        <f t="shared" si="3"/>
        <v>0</v>
      </c>
      <c r="E43" s="91">
        <f t="shared" si="3"/>
        <v>0</v>
      </c>
      <c r="F43" s="91" t="s">
        <v>122</v>
      </c>
      <c r="G43" s="99">
        <f t="shared" si="4"/>
        <v>3</v>
      </c>
      <c r="H43" s="94">
        <f t="shared" si="4"/>
        <v>0</v>
      </c>
      <c r="I43" s="95">
        <f t="shared" si="4"/>
        <v>0</v>
      </c>
      <c r="J43" s="96"/>
      <c r="K43" s="96"/>
    </row>
    <row r="44" spans="1:11" customFormat="1" x14ac:dyDescent="0.2">
      <c r="A44" s="289">
        <f>A16</f>
        <v>0</v>
      </c>
      <c r="B44" s="290"/>
      <c r="C44" s="158">
        <f t="shared" ref="C44:C50" si="5">C16</f>
        <v>0</v>
      </c>
      <c r="D44" s="152">
        <f t="shared" si="3"/>
        <v>0</v>
      </c>
      <c r="E44" s="91">
        <f t="shared" si="3"/>
        <v>0</v>
      </c>
      <c r="F44" s="91" t="s">
        <v>122</v>
      </c>
      <c r="G44" s="154">
        <f t="shared" si="4"/>
        <v>3</v>
      </c>
      <c r="H44" s="94">
        <f t="shared" si="4"/>
        <v>0</v>
      </c>
      <c r="I44" s="95">
        <f t="shared" si="4"/>
        <v>0</v>
      </c>
      <c r="J44" s="96"/>
      <c r="K44" s="96"/>
    </row>
    <row r="45" spans="1:11" customFormat="1" x14ac:dyDescent="0.2">
      <c r="A45" s="291">
        <f t="shared" si="2"/>
        <v>0</v>
      </c>
      <c r="B45" s="292"/>
      <c r="C45" s="159">
        <f t="shared" si="5"/>
        <v>0</v>
      </c>
      <c r="D45" s="157">
        <f t="shared" si="3"/>
        <v>0</v>
      </c>
      <c r="E45" s="91">
        <f t="shared" si="3"/>
        <v>0</v>
      </c>
      <c r="F45" s="91" t="s">
        <v>122</v>
      </c>
      <c r="G45" s="99">
        <f t="shared" si="4"/>
        <v>3</v>
      </c>
      <c r="H45" s="94">
        <f t="shared" si="4"/>
        <v>0</v>
      </c>
      <c r="I45" s="95">
        <f t="shared" si="4"/>
        <v>0</v>
      </c>
      <c r="J45" s="96"/>
      <c r="K45" s="96"/>
    </row>
    <row r="46" spans="1:11" customFormat="1" x14ac:dyDescent="0.2">
      <c r="A46" s="289">
        <f t="shared" si="2"/>
        <v>0</v>
      </c>
      <c r="B46" s="290"/>
      <c r="C46" s="158">
        <f t="shared" si="5"/>
        <v>0</v>
      </c>
      <c r="D46" s="152">
        <f t="shared" si="3"/>
        <v>0</v>
      </c>
      <c r="E46" s="91">
        <f t="shared" si="3"/>
        <v>0</v>
      </c>
      <c r="F46" s="91" t="s">
        <v>122</v>
      </c>
      <c r="G46" s="154">
        <f t="shared" si="4"/>
        <v>4</v>
      </c>
      <c r="H46" s="94">
        <f t="shared" si="4"/>
        <v>0</v>
      </c>
      <c r="I46" s="95">
        <f t="shared" si="4"/>
        <v>0</v>
      </c>
      <c r="J46" s="96"/>
      <c r="K46" s="96"/>
    </row>
    <row r="47" spans="1:11" customFormat="1" x14ac:dyDescent="0.2">
      <c r="A47" s="291">
        <f t="shared" si="2"/>
        <v>0</v>
      </c>
      <c r="B47" s="292"/>
      <c r="C47" s="160">
        <f t="shared" si="5"/>
        <v>0</v>
      </c>
      <c r="D47" s="157">
        <f t="shared" si="3"/>
        <v>0</v>
      </c>
      <c r="E47" s="91">
        <f t="shared" si="3"/>
        <v>0</v>
      </c>
      <c r="F47" s="91" t="s">
        <v>122</v>
      </c>
      <c r="G47" s="99">
        <f t="shared" si="4"/>
        <v>4</v>
      </c>
      <c r="H47" s="94">
        <f t="shared" si="4"/>
        <v>0</v>
      </c>
      <c r="I47" s="94">
        <f t="shared" si="4"/>
        <v>0</v>
      </c>
      <c r="J47" s="96"/>
      <c r="K47" s="96"/>
    </row>
    <row r="48" spans="1:11" customFormat="1" x14ac:dyDescent="0.2">
      <c r="A48" s="289">
        <f t="shared" si="2"/>
        <v>0</v>
      </c>
      <c r="B48" s="290"/>
      <c r="C48" s="158">
        <f t="shared" si="5"/>
        <v>0</v>
      </c>
      <c r="D48" s="152">
        <f>D20</f>
        <v>0</v>
      </c>
      <c r="E48" s="91">
        <f t="shared" si="3"/>
        <v>0</v>
      </c>
      <c r="F48" s="113" t="s">
        <v>122</v>
      </c>
      <c r="G48" s="154">
        <f t="shared" si="4"/>
        <v>0</v>
      </c>
      <c r="H48" s="94">
        <f t="shared" si="4"/>
        <v>0</v>
      </c>
      <c r="I48" s="94">
        <f t="shared" si="4"/>
        <v>0</v>
      </c>
      <c r="J48" s="96"/>
      <c r="K48" s="96"/>
    </row>
    <row r="49" spans="1:11" customFormat="1" x14ac:dyDescent="0.2">
      <c r="A49" s="291">
        <f t="shared" si="2"/>
        <v>0</v>
      </c>
      <c r="B49" s="292"/>
      <c r="C49" s="159">
        <f t="shared" si="5"/>
        <v>0</v>
      </c>
      <c r="D49" s="157">
        <f t="shared" si="3"/>
        <v>0</v>
      </c>
      <c r="E49" s="91">
        <f t="shared" si="3"/>
        <v>0</v>
      </c>
      <c r="F49" s="91" t="s">
        <v>122</v>
      </c>
      <c r="G49" s="99">
        <f t="shared" si="4"/>
        <v>0</v>
      </c>
      <c r="H49" s="94">
        <f t="shared" si="4"/>
        <v>0</v>
      </c>
      <c r="I49" s="95">
        <f t="shared" si="4"/>
        <v>0</v>
      </c>
      <c r="J49" s="96"/>
      <c r="K49" s="96"/>
    </row>
    <row r="50" spans="1:11" customFormat="1" ht="15.75" thickBot="1" x14ac:dyDescent="0.25">
      <c r="A50" s="293">
        <f t="shared" si="2"/>
        <v>0</v>
      </c>
      <c r="B50" s="294"/>
      <c r="C50" s="161">
        <f t="shared" si="5"/>
        <v>0</v>
      </c>
      <c r="D50" s="162">
        <f t="shared" si="3"/>
        <v>0</v>
      </c>
      <c r="E50" s="91">
        <f t="shared" si="3"/>
        <v>0</v>
      </c>
      <c r="F50" s="163" t="s">
        <v>122</v>
      </c>
      <c r="G50" s="154">
        <f t="shared" si="4"/>
        <v>0</v>
      </c>
      <c r="H50" s="164">
        <f t="shared" si="4"/>
        <v>0</v>
      </c>
      <c r="I50" s="165">
        <f t="shared" si="4"/>
        <v>0</v>
      </c>
      <c r="J50" s="96"/>
      <c r="K50" s="96"/>
    </row>
    <row r="51" spans="1:11" customFormat="1" ht="15.75" thickBot="1" x14ac:dyDescent="0.25">
      <c r="A51" s="61"/>
      <c r="B51" s="62"/>
      <c r="C51" s="62"/>
      <c r="D51" s="63" t="s">
        <v>139</v>
      </c>
      <c r="E51" s="121">
        <f>E23</f>
        <v>500</v>
      </c>
      <c r="F51" s="129" t="s">
        <v>122</v>
      </c>
      <c r="G51" s="129"/>
      <c r="H51" s="131">
        <f t="shared" si="4"/>
        <v>747</v>
      </c>
      <c r="I51" s="132">
        <f t="shared" si="4"/>
        <v>747</v>
      </c>
      <c r="J51" s="96"/>
      <c r="K51" s="96"/>
    </row>
    <row r="52" spans="1:11" customFormat="1" x14ac:dyDescent="0.2">
      <c r="A52" s="166" t="s">
        <v>146</v>
      </c>
      <c r="B52" s="166"/>
      <c r="C52" s="166"/>
      <c r="D52" s="167"/>
      <c r="E52" s="167"/>
      <c r="F52" s="167"/>
      <c r="G52" s="167"/>
      <c r="H52" s="167"/>
      <c r="I52" s="168" t="str">
        <f>D37</f>
        <v>Ходачинский П.В.</v>
      </c>
      <c r="J52" s="168"/>
    </row>
    <row r="53" spans="1:11" customFormat="1" x14ac:dyDescent="0.2">
      <c r="B53" s="137"/>
      <c r="C53" s="137"/>
      <c r="D53" s="137"/>
      <c r="E53" s="137" t="s">
        <v>147</v>
      </c>
      <c r="F53" s="137"/>
      <c r="G53" s="137"/>
      <c r="H53" s="137"/>
      <c r="I53" s="137"/>
    </row>
    <row r="54" spans="1:11" customFormat="1" x14ac:dyDescent="0.2">
      <c r="A54" s="169" t="s">
        <v>143</v>
      </c>
      <c r="B54" s="169"/>
      <c r="C54" s="169"/>
      <c r="D54" s="170"/>
      <c r="E54" s="170"/>
      <c r="F54" s="170"/>
      <c r="G54" s="170"/>
      <c r="H54" s="171"/>
      <c r="I54" s="168">
        <f>D10</f>
        <v>0</v>
      </c>
      <c r="J54" s="168"/>
    </row>
    <row r="55" spans="1:11" customFormat="1" x14ac:dyDescent="0.2">
      <c r="E55" s="137" t="s">
        <v>147</v>
      </c>
      <c r="F55" s="137"/>
      <c r="G55" s="137"/>
      <c r="H55" s="137"/>
      <c r="I55" s="137"/>
    </row>
    <row r="56" spans="1:11" customFormat="1" x14ac:dyDescent="0.2"/>
    <row r="70" spans="13:24" x14ac:dyDescent="0.2">
      <c r="O70" s="172"/>
    </row>
    <row r="71" spans="13:24" x14ac:dyDescent="0.2">
      <c r="O71" s="172"/>
    </row>
    <row r="72" spans="13:24" x14ac:dyDescent="0.2">
      <c r="O72" s="173">
        <v>1</v>
      </c>
    </row>
    <row r="73" spans="13:24" ht="29.25" x14ac:dyDescent="0.2">
      <c r="N73" s="174"/>
      <c r="O73" s="174" t="s">
        <v>148</v>
      </c>
      <c r="P73" s="175" t="s">
        <v>149</v>
      </c>
      <c r="Q73" s="174" t="s">
        <v>150</v>
      </c>
      <c r="R73" s="176" t="s">
        <v>151</v>
      </c>
      <c r="T73" s="88" t="s">
        <v>152</v>
      </c>
      <c r="V73" s="88" t="s">
        <v>153</v>
      </c>
      <c r="X73" s="88" t="s">
        <v>154</v>
      </c>
    </row>
    <row r="74" spans="13:24" x14ac:dyDescent="0.2">
      <c r="N74" s="174">
        <v>1</v>
      </c>
      <c r="O74" s="177" t="s">
        <v>155</v>
      </c>
      <c r="P74" s="174">
        <v>120</v>
      </c>
      <c r="Q74" s="174">
        <v>1.4915100000000001E-2</v>
      </c>
      <c r="R74" s="178">
        <f>P74*Q74</f>
        <v>1.789812</v>
      </c>
      <c r="T74" s="88" t="s">
        <v>156</v>
      </c>
      <c r="V74" s="88" t="s">
        <v>103</v>
      </c>
      <c r="X74" s="88" t="s">
        <v>157</v>
      </c>
    </row>
    <row r="75" spans="13:24" x14ac:dyDescent="0.2">
      <c r="N75" s="174">
        <v>2</v>
      </c>
      <c r="O75" s="177" t="s">
        <v>158</v>
      </c>
      <c r="P75" s="174">
        <v>104</v>
      </c>
      <c r="Q75" s="174">
        <v>1.7897916659999999E-2</v>
      </c>
      <c r="R75" s="178">
        <f>P75*Q75</f>
        <v>1.86138333264</v>
      </c>
      <c r="T75" s="88" t="s">
        <v>159</v>
      </c>
      <c r="V75" s="88" t="s">
        <v>160</v>
      </c>
      <c r="X75" s="88" t="s">
        <v>104</v>
      </c>
    </row>
    <row r="76" spans="13:24" x14ac:dyDescent="0.2">
      <c r="N76" s="174">
        <v>3</v>
      </c>
      <c r="O76" s="177" t="s">
        <v>161</v>
      </c>
      <c r="P76" s="174">
        <v>80</v>
      </c>
      <c r="Q76" s="174">
        <v>2.23725E-2</v>
      </c>
      <c r="R76" s="178">
        <f t="shared" ref="R76:R81" si="6">P76*Q76</f>
        <v>1.7898000000000001</v>
      </c>
      <c r="T76" s="88" t="s">
        <v>162</v>
      </c>
      <c r="V76" s="88" t="s">
        <v>163</v>
      </c>
    </row>
    <row r="77" spans="13:24" x14ac:dyDescent="0.2">
      <c r="N77" s="174">
        <v>4</v>
      </c>
      <c r="O77" s="177" t="s">
        <v>164</v>
      </c>
      <c r="P77" s="174">
        <v>64</v>
      </c>
      <c r="Q77" s="174">
        <v>2.9830200000000001E-2</v>
      </c>
      <c r="R77" s="178">
        <f t="shared" si="6"/>
        <v>1.9091328000000001</v>
      </c>
      <c r="T77" s="88" t="s">
        <v>165</v>
      </c>
      <c r="V77" s="88" t="s">
        <v>166</v>
      </c>
    </row>
    <row r="78" spans="13:24" x14ac:dyDescent="0.2">
      <c r="N78" s="174">
        <v>5</v>
      </c>
      <c r="O78" s="179" t="s">
        <v>167</v>
      </c>
      <c r="P78" s="174">
        <v>40</v>
      </c>
      <c r="Q78" s="174">
        <v>4.4745E-2</v>
      </c>
      <c r="R78" s="178">
        <f t="shared" si="6"/>
        <v>1.7898000000000001</v>
      </c>
      <c r="T78" s="88" t="s">
        <v>168</v>
      </c>
      <c r="V78" s="88" t="s">
        <v>169</v>
      </c>
    </row>
    <row r="79" spans="13:24" x14ac:dyDescent="0.2">
      <c r="M79" s="67"/>
      <c r="N79" s="174">
        <v>6</v>
      </c>
      <c r="O79" s="179" t="s">
        <v>170</v>
      </c>
      <c r="P79" s="174">
        <v>32</v>
      </c>
      <c r="Q79" s="174">
        <v>5.9660400000000002E-2</v>
      </c>
      <c r="R79" s="178">
        <v>1.9091</v>
      </c>
      <c r="T79" s="88" t="s">
        <v>102</v>
      </c>
      <c r="V79" s="88" t="s">
        <v>171</v>
      </c>
    </row>
    <row r="80" spans="13:24" x14ac:dyDescent="0.2">
      <c r="N80" s="174">
        <v>7</v>
      </c>
      <c r="O80" s="177" t="s">
        <v>172</v>
      </c>
      <c r="P80" s="174">
        <v>24</v>
      </c>
      <c r="Q80" s="174">
        <v>7.4575000000000002E-2</v>
      </c>
      <c r="R80" s="178">
        <f t="shared" si="6"/>
        <v>1.7898000000000001</v>
      </c>
      <c r="T80" s="88" t="s">
        <v>173</v>
      </c>
      <c r="V80" s="88" t="s">
        <v>174</v>
      </c>
    </row>
    <row r="81" spans="14:22" x14ac:dyDescent="0.2">
      <c r="N81" s="174">
        <v>8</v>
      </c>
      <c r="O81" s="177" t="s">
        <v>175</v>
      </c>
      <c r="P81" s="174">
        <v>50</v>
      </c>
      <c r="Q81" s="174">
        <v>3.594E-2</v>
      </c>
      <c r="R81" s="178">
        <f t="shared" si="6"/>
        <v>1.7969999999999999</v>
      </c>
      <c r="T81" s="88" t="s">
        <v>176</v>
      </c>
      <c r="V81" s="88" t="s">
        <v>177</v>
      </c>
    </row>
    <row r="82" spans="14:22" x14ac:dyDescent="0.2">
      <c r="N82" s="174">
        <v>9</v>
      </c>
      <c r="T82" s="88" t="s">
        <v>178</v>
      </c>
      <c r="V82" s="88" t="s">
        <v>179</v>
      </c>
    </row>
    <row r="83" spans="14:22" x14ac:dyDescent="0.2">
      <c r="N83" s="174">
        <v>10</v>
      </c>
      <c r="O83" s="177" t="s">
        <v>180</v>
      </c>
      <c r="P83" s="174">
        <v>160</v>
      </c>
      <c r="Q83" s="174">
        <v>1.2449999999999999E-2</v>
      </c>
      <c r="R83" s="178">
        <f>P83*Q83</f>
        <v>1.992</v>
      </c>
      <c r="T83" s="88" t="s">
        <v>181</v>
      </c>
      <c r="V83" s="88" t="s">
        <v>182</v>
      </c>
    </row>
    <row r="84" spans="14:22" x14ac:dyDescent="0.2">
      <c r="N84" s="174">
        <v>11</v>
      </c>
      <c r="O84" s="177" t="s">
        <v>183</v>
      </c>
      <c r="P84" s="174">
        <v>120</v>
      </c>
      <c r="Q84" s="174">
        <v>1.55625E-2</v>
      </c>
      <c r="R84" s="178">
        <f>P84*Q84</f>
        <v>1.8674999999999999</v>
      </c>
      <c r="T84" s="88" t="s">
        <v>184</v>
      </c>
      <c r="V84" s="88" t="s">
        <v>185</v>
      </c>
    </row>
    <row r="85" spans="14:22" x14ac:dyDescent="0.2">
      <c r="N85" s="174">
        <v>12</v>
      </c>
      <c r="O85" s="177" t="s">
        <v>186</v>
      </c>
      <c r="P85" s="174">
        <v>104</v>
      </c>
      <c r="Q85" s="174">
        <v>1.8675000000000001E-2</v>
      </c>
      <c r="R85" s="178">
        <v>1.9421999999999999</v>
      </c>
      <c r="T85" s="88" t="s">
        <v>187</v>
      </c>
    </row>
    <row r="86" spans="14:22" x14ac:dyDescent="0.2">
      <c r="N86" s="174">
        <v>13</v>
      </c>
      <c r="O86" s="177" t="s">
        <v>188</v>
      </c>
      <c r="P86" s="174">
        <v>80</v>
      </c>
      <c r="Q86" s="174">
        <v>2.334375E-2</v>
      </c>
      <c r="R86" s="178">
        <f t="shared" ref="R86:R94" si="7">P86*Q86</f>
        <v>1.8674999999999999</v>
      </c>
      <c r="T86" s="88" t="s">
        <v>189</v>
      </c>
    </row>
    <row r="87" spans="14:22" x14ac:dyDescent="0.2">
      <c r="N87" s="174">
        <v>14</v>
      </c>
      <c r="O87" s="177" t="s">
        <v>190</v>
      </c>
      <c r="P87" s="174">
        <v>64</v>
      </c>
      <c r="Q87" s="174">
        <v>3.1125E-2</v>
      </c>
      <c r="R87" s="178">
        <f t="shared" si="7"/>
        <v>1.992</v>
      </c>
      <c r="T87" s="88" t="s">
        <v>191</v>
      </c>
    </row>
    <row r="88" spans="14:22" x14ac:dyDescent="0.2">
      <c r="N88" s="174">
        <v>15</v>
      </c>
      <c r="O88" s="177" t="s">
        <v>192</v>
      </c>
      <c r="P88" s="174">
        <v>40</v>
      </c>
      <c r="Q88" s="174">
        <v>4.66875E-2</v>
      </c>
      <c r="R88" s="178">
        <f t="shared" si="7"/>
        <v>1.8674999999999999</v>
      </c>
      <c r="T88" s="88" t="s">
        <v>193</v>
      </c>
    </row>
    <row r="89" spans="14:22" x14ac:dyDescent="0.2">
      <c r="N89" s="174">
        <v>16</v>
      </c>
      <c r="O89" s="177" t="s">
        <v>194</v>
      </c>
      <c r="P89" s="174">
        <v>32</v>
      </c>
      <c r="Q89" s="174">
        <v>5.8359374999999998E-2</v>
      </c>
      <c r="R89" s="178">
        <f t="shared" si="7"/>
        <v>1.8674999999999999</v>
      </c>
      <c r="T89" s="88" t="s">
        <v>195</v>
      </c>
    </row>
    <row r="90" spans="14:22" x14ac:dyDescent="0.2">
      <c r="N90" s="174">
        <v>17</v>
      </c>
      <c r="O90" s="177" t="s">
        <v>196</v>
      </c>
      <c r="P90" s="174">
        <v>32</v>
      </c>
      <c r="Q90" s="174">
        <v>6.225E-2</v>
      </c>
      <c r="R90" s="178">
        <f t="shared" si="7"/>
        <v>1.992</v>
      </c>
      <c r="T90" s="88" t="s">
        <v>197</v>
      </c>
    </row>
    <row r="91" spans="14:22" x14ac:dyDescent="0.2">
      <c r="N91" s="174">
        <v>18</v>
      </c>
      <c r="O91" s="177" t="s">
        <v>198</v>
      </c>
      <c r="P91" s="174">
        <v>24</v>
      </c>
      <c r="Q91" s="174">
        <v>7.7812500000000007E-2</v>
      </c>
      <c r="R91" s="178">
        <f t="shared" si="7"/>
        <v>1.8675000000000002</v>
      </c>
      <c r="T91" s="88" t="s">
        <v>199</v>
      </c>
    </row>
    <row r="92" spans="14:22" x14ac:dyDescent="0.2">
      <c r="N92" s="174">
        <v>19</v>
      </c>
      <c r="O92" s="177" t="s">
        <v>200</v>
      </c>
      <c r="P92" s="174">
        <v>50</v>
      </c>
      <c r="Q92" s="174">
        <v>3.7499999999999999E-2</v>
      </c>
      <c r="R92" s="178">
        <f t="shared" si="7"/>
        <v>1.875</v>
      </c>
      <c r="T92" s="88" t="s">
        <v>201</v>
      </c>
    </row>
    <row r="93" spans="14:22" x14ac:dyDescent="0.2">
      <c r="N93" s="174">
        <v>20</v>
      </c>
      <c r="O93" s="177" t="s">
        <v>202</v>
      </c>
      <c r="P93" s="174">
        <v>40</v>
      </c>
      <c r="Q93" s="174">
        <v>0.05</v>
      </c>
      <c r="R93" s="178">
        <f t="shared" si="7"/>
        <v>2</v>
      </c>
      <c r="T93" s="88" t="s">
        <v>203</v>
      </c>
    </row>
    <row r="94" spans="14:22" x14ac:dyDescent="0.2">
      <c r="N94" s="174">
        <v>21</v>
      </c>
      <c r="O94" s="177" t="s">
        <v>204</v>
      </c>
      <c r="P94" s="174">
        <v>48</v>
      </c>
      <c r="Q94" s="174">
        <v>3.8906250000000003E-2</v>
      </c>
      <c r="R94" s="178">
        <f t="shared" si="7"/>
        <v>1.8675000000000002</v>
      </c>
      <c r="T94" s="88" t="s">
        <v>205</v>
      </c>
    </row>
    <row r="95" spans="14:22" ht="18.75" x14ac:dyDescent="0.25">
      <c r="N95" s="174">
        <v>22</v>
      </c>
      <c r="O95" s="177" t="s">
        <v>206</v>
      </c>
      <c r="P95" s="180">
        <v>40</v>
      </c>
      <c r="Q95" s="180">
        <v>4.6875E-2</v>
      </c>
      <c r="R95" s="181">
        <v>1.875</v>
      </c>
      <c r="T95" s="88" t="s">
        <v>207</v>
      </c>
    </row>
    <row r="96" spans="14:22" x14ac:dyDescent="0.2">
      <c r="N96" s="174">
        <v>23</v>
      </c>
      <c r="T96" s="88" t="s">
        <v>208</v>
      </c>
    </row>
    <row r="97" spans="14:20" x14ac:dyDescent="0.2">
      <c r="N97" s="174">
        <v>24</v>
      </c>
      <c r="T97" s="88" t="s">
        <v>209</v>
      </c>
    </row>
    <row r="98" spans="14:20" x14ac:dyDescent="0.2">
      <c r="N98" s="174">
        <v>25</v>
      </c>
      <c r="T98" s="88" t="s">
        <v>210</v>
      </c>
    </row>
    <row r="99" spans="14:20" x14ac:dyDescent="0.2">
      <c r="N99" s="174">
        <v>26</v>
      </c>
      <c r="O99" s="177" t="s">
        <v>211</v>
      </c>
      <c r="P99" s="174">
        <v>96</v>
      </c>
      <c r="Q99" s="174">
        <v>1.4915100000000001E-2</v>
      </c>
      <c r="R99" s="178">
        <f>P99*Q99</f>
        <v>1.4318496000000001</v>
      </c>
      <c r="T99" s="88" t="s">
        <v>212</v>
      </c>
    </row>
    <row r="100" spans="14:20" x14ac:dyDescent="0.2">
      <c r="N100" s="174">
        <v>27</v>
      </c>
      <c r="O100" s="177" t="s">
        <v>213</v>
      </c>
      <c r="P100" s="174">
        <v>80</v>
      </c>
      <c r="Q100" s="174">
        <v>1.7897916659999999E-2</v>
      </c>
      <c r="R100" s="178">
        <f>P100*Q100</f>
        <v>1.4318333327999999</v>
      </c>
      <c r="T100" s="88" t="s">
        <v>214</v>
      </c>
    </row>
    <row r="101" spans="14:20" x14ac:dyDescent="0.2">
      <c r="N101" s="174">
        <v>28</v>
      </c>
      <c r="O101" s="177" t="s">
        <v>215</v>
      </c>
      <c r="P101" s="174">
        <v>64</v>
      </c>
      <c r="Q101" s="174">
        <v>2.23725E-2</v>
      </c>
      <c r="R101" s="178">
        <f t="shared" ref="R101:R102" si="8">P101*Q101</f>
        <v>1.43184</v>
      </c>
      <c r="T101" s="88" t="s">
        <v>216</v>
      </c>
    </row>
    <row r="102" spans="14:20" x14ac:dyDescent="0.2">
      <c r="N102" s="174">
        <v>29</v>
      </c>
      <c r="O102" s="177" t="s">
        <v>217</v>
      </c>
      <c r="P102" s="174">
        <v>48</v>
      </c>
      <c r="Q102" s="174">
        <v>2.9830200000000001E-2</v>
      </c>
      <c r="R102" s="178">
        <f t="shared" si="8"/>
        <v>1.4318496000000001</v>
      </c>
      <c r="T102" s="88" t="s">
        <v>218</v>
      </c>
    </row>
    <row r="103" spans="14:20" x14ac:dyDescent="0.2">
      <c r="N103" s="174">
        <v>30</v>
      </c>
      <c r="O103" s="177" t="s">
        <v>219</v>
      </c>
      <c r="P103" s="182">
        <v>40</v>
      </c>
      <c r="R103" s="178">
        <v>1.4318</v>
      </c>
      <c r="T103" s="88" t="s">
        <v>220</v>
      </c>
    </row>
    <row r="104" spans="14:20" x14ac:dyDescent="0.2">
      <c r="N104" s="174">
        <v>31</v>
      </c>
      <c r="O104" s="179" t="s">
        <v>221</v>
      </c>
      <c r="P104" s="174">
        <v>32</v>
      </c>
      <c r="Q104" s="174">
        <v>4.4745E-2</v>
      </c>
      <c r="R104" s="178">
        <f>P104*Q104</f>
        <v>1.43184</v>
      </c>
      <c r="T104" s="88"/>
    </row>
    <row r="105" spans="14:20" x14ac:dyDescent="0.2">
      <c r="N105" s="174">
        <v>32</v>
      </c>
      <c r="O105" s="179" t="s">
        <v>222</v>
      </c>
      <c r="P105" s="174">
        <v>24</v>
      </c>
      <c r="Q105" s="174">
        <v>5.9660400000000002E-2</v>
      </c>
      <c r="R105" s="178">
        <v>1.9091</v>
      </c>
      <c r="T105" s="88"/>
    </row>
    <row r="106" spans="14:20" x14ac:dyDescent="0.2">
      <c r="N106" s="174">
        <v>33</v>
      </c>
      <c r="O106" s="177" t="s">
        <v>223</v>
      </c>
      <c r="P106" s="174">
        <v>30</v>
      </c>
      <c r="Q106" s="174">
        <v>4.7919999999999997E-2</v>
      </c>
      <c r="R106" s="178">
        <f>P106*Q106</f>
        <v>1.4376</v>
      </c>
      <c r="T106" s="88"/>
    </row>
    <row r="107" spans="14:20" x14ac:dyDescent="0.2">
      <c r="N107" s="174">
        <v>34</v>
      </c>
      <c r="O107" s="177" t="s">
        <v>224</v>
      </c>
      <c r="P107" s="174">
        <v>40</v>
      </c>
      <c r="Q107" s="174">
        <v>3.594E-2</v>
      </c>
      <c r="R107" s="178">
        <f>P107*Q107</f>
        <v>1.4376</v>
      </c>
      <c r="T107" s="88"/>
    </row>
    <row r="108" spans="14:20" x14ac:dyDescent="0.2">
      <c r="N108" s="174">
        <v>35</v>
      </c>
      <c r="T108" s="88"/>
    </row>
    <row r="109" spans="14:20" x14ac:dyDescent="0.2">
      <c r="N109" s="174">
        <v>36</v>
      </c>
      <c r="T109" s="88"/>
    </row>
    <row r="110" spans="14:20" x14ac:dyDescent="0.2">
      <c r="N110" s="174">
        <v>37</v>
      </c>
      <c r="T110" s="88"/>
    </row>
    <row r="111" spans="14:20" x14ac:dyDescent="0.2">
      <c r="N111" s="174">
        <v>38</v>
      </c>
      <c r="O111" s="177" t="s">
        <v>225</v>
      </c>
      <c r="P111" s="174">
        <v>120</v>
      </c>
      <c r="Q111" s="174">
        <v>1.2449999999999999E-2</v>
      </c>
      <c r="R111" s="178">
        <f t="shared" ref="R111:R115" si="9">P111*Q111</f>
        <v>1.494</v>
      </c>
      <c r="T111" s="88"/>
    </row>
    <row r="112" spans="14:20" x14ac:dyDescent="0.2">
      <c r="N112" s="174">
        <v>39</v>
      </c>
      <c r="O112" s="177" t="s">
        <v>226</v>
      </c>
      <c r="P112" s="174">
        <v>96</v>
      </c>
      <c r="Q112" s="174">
        <v>1.55625E-2</v>
      </c>
      <c r="R112" s="178">
        <f t="shared" si="9"/>
        <v>1.494</v>
      </c>
      <c r="T112" s="88"/>
    </row>
    <row r="113" spans="14:21" x14ac:dyDescent="0.2">
      <c r="N113" s="174">
        <v>40</v>
      </c>
      <c r="O113" s="177" t="s">
        <v>227</v>
      </c>
      <c r="P113" s="174">
        <v>80</v>
      </c>
      <c r="Q113" s="174">
        <v>1.8675000000000001E-2</v>
      </c>
      <c r="R113" s="178">
        <f t="shared" si="9"/>
        <v>1.494</v>
      </c>
      <c r="T113" s="88"/>
    </row>
    <row r="114" spans="14:21" x14ac:dyDescent="0.2">
      <c r="N114" s="174">
        <v>41</v>
      </c>
      <c r="O114" s="177" t="s">
        <v>228</v>
      </c>
      <c r="P114" s="174">
        <v>64</v>
      </c>
      <c r="Q114" s="174">
        <v>2.334375E-2</v>
      </c>
      <c r="R114" s="178">
        <f t="shared" si="9"/>
        <v>1.494</v>
      </c>
      <c r="T114" s="88"/>
    </row>
    <row r="115" spans="14:21" x14ac:dyDescent="0.2">
      <c r="N115" s="174">
        <v>42</v>
      </c>
      <c r="O115" s="177" t="s">
        <v>229</v>
      </c>
      <c r="P115" s="174">
        <v>48</v>
      </c>
      <c r="Q115" s="174">
        <v>3.1125E-2</v>
      </c>
      <c r="R115" s="178">
        <f t="shared" si="9"/>
        <v>1.494</v>
      </c>
      <c r="T115" s="88"/>
    </row>
    <row r="116" spans="14:21" x14ac:dyDescent="0.2">
      <c r="N116" s="174">
        <v>43</v>
      </c>
      <c r="O116" s="177" t="s">
        <v>230</v>
      </c>
      <c r="P116" s="183">
        <v>40</v>
      </c>
      <c r="R116" s="178">
        <v>1.494</v>
      </c>
    </row>
    <row r="117" spans="14:21" x14ac:dyDescent="0.2">
      <c r="N117" s="174">
        <v>44</v>
      </c>
      <c r="O117" s="177" t="s">
        <v>231</v>
      </c>
      <c r="P117" s="174">
        <v>32</v>
      </c>
      <c r="Q117" s="174">
        <v>4.66875E-2</v>
      </c>
      <c r="R117" s="178">
        <f>P117*Q117</f>
        <v>1.494</v>
      </c>
    </row>
    <row r="118" spans="14:21" x14ac:dyDescent="0.2">
      <c r="N118" s="174">
        <v>45</v>
      </c>
      <c r="O118" s="177" t="s">
        <v>232</v>
      </c>
      <c r="P118" s="174">
        <v>24</v>
      </c>
      <c r="Q118" s="174">
        <v>5.8359374999999998E-2</v>
      </c>
      <c r="R118" s="178">
        <f>P118*Q118</f>
        <v>1.400625</v>
      </c>
    </row>
    <row r="119" spans="14:21" x14ac:dyDescent="0.2">
      <c r="N119" s="174">
        <v>46</v>
      </c>
      <c r="O119" s="177" t="s">
        <v>233</v>
      </c>
      <c r="P119" s="174">
        <v>24</v>
      </c>
      <c r="Q119" s="174">
        <v>6.225E-2</v>
      </c>
      <c r="R119" s="178">
        <f>P119*Q119</f>
        <v>1.494</v>
      </c>
    </row>
    <row r="120" spans="14:21" x14ac:dyDescent="0.2">
      <c r="N120" s="174">
        <v>47</v>
      </c>
      <c r="O120" s="177" t="s">
        <v>234</v>
      </c>
      <c r="P120" s="174">
        <v>40</v>
      </c>
      <c r="Q120" s="174">
        <v>3.5000000000000003E-2</v>
      </c>
      <c r="R120" s="178">
        <f>P120*Q120</f>
        <v>1.4000000000000001</v>
      </c>
    </row>
    <row r="121" spans="14:21" x14ac:dyDescent="0.2">
      <c r="N121" s="174">
        <v>48</v>
      </c>
      <c r="O121" s="177" t="s">
        <v>235</v>
      </c>
      <c r="P121" s="174">
        <v>40</v>
      </c>
      <c r="Q121" s="174">
        <v>3.7499999999999999E-2</v>
      </c>
      <c r="R121" s="178">
        <f>P121*Q121</f>
        <v>1.5</v>
      </c>
    </row>
    <row r="122" spans="14:21" x14ac:dyDescent="0.2">
      <c r="N122" s="174">
        <v>49</v>
      </c>
      <c r="O122" s="177" t="s">
        <v>236</v>
      </c>
      <c r="P122" s="174">
        <v>30</v>
      </c>
      <c r="Q122" s="174">
        <v>0.05</v>
      </c>
      <c r="R122" s="178">
        <f t="shared" ref="R122:R123" si="10">P122*Q122</f>
        <v>1.5</v>
      </c>
    </row>
    <row r="123" spans="14:21" ht="18.75" x14ac:dyDescent="0.25">
      <c r="N123" s="174">
        <v>50</v>
      </c>
      <c r="O123" s="177" t="s">
        <v>237</v>
      </c>
      <c r="P123" s="180">
        <v>30</v>
      </c>
      <c r="Q123" s="180">
        <v>4.6873999999999999E-2</v>
      </c>
      <c r="R123" s="181">
        <f t="shared" si="10"/>
        <v>1.40622</v>
      </c>
      <c r="U123" t="s">
        <v>11</v>
      </c>
    </row>
    <row r="124" spans="14:21" x14ac:dyDescent="0.2">
      <c r="N124" s="174">
        <v>51</v>
      </c>
      <c r="O124" s="177" t="s">
        <v>238</v>
      </c>
      <c r="P124" s="174">
        <v>60</v>
      </c>
      <c r="Q124" s="174"/>
      <c r="R124" s="178">
        <v>1.5</v>
      </c>
    </row>
    <row r="125" spans="14:21" x14ac:dyDescent="0.2">
      <c r="N125" s="174">
        <v>52</v>
      </c>
    </row>
    <row r="126" spans="14:21" x14ac:dyDescent="0.2">
      <c r="N126" s="174">
        <v>53</v>
      </c>
      <c r="O126" s="179" t="s">
        <v>239</v>
      </c>
      <c r="P126" s="174">
        <v>136</v>
      </c>
      <c r="Q126" s="174">
        <v>1.2449999999999999E-2</v>
      </c>
      <c r="R126" s="178">
        <f>Q126*P126</f>
        <v>1.6931999999999998</v>
      </c>
    </row>
    <row r="127" spans="14:21" x14ac:dyDescent="0.2">
      <c r="N127" s="174">
        <v>54</v>
      </c>
      <c r="O127" s="179" t="s">
        <v>240</v>
      </c>
      <c r="P127" s="174">
        <v>112</v>
      </c>
      <c r="Q127" s="174">
        <v>1.55625E-2</v>
      </c>
      <c r="R127" s="178">
        <f t="shared" ref="R127:R128" si="11">Q127*P127</f>
        <v>1.7429999999999999</v>
      </c>
    </row>
    <row r="128" spans="14:21" x14ac:dyDescent="0.2">
      <c r="N128" s="174">
        <v>55</v>
      </c>
      <c r="O128" s="179" t="s">
        <v>241</v>
      </c>
      <c r="P128" s="174">
        <v>88</v>
      </c>
      <c r="Q128" s="174">
        <v>1.8675000000000001E-2</v>
      </c>
      <c r="R128" s="178">
        <f t="shared" si="11"/>
        <v>1.6434</v>
      </c>
    </row>
    <row r="129" spans="14:18" x14ac:dyDescent="0.2">
      <c r="N129" s="174">
        <v>56</v>
      </c>
      <c r="O129" s="179" t="s">
        <v>242</v>
      </c>
      <c r="P129" s="174">
        <v>72</v>
      </c>
      <c r="Q129" s="174">
        <v>2.334375E-2</v>
      </c>
      <c r="R129" s="178">
        <v>1.6808000000000001</v>
      </c>
    </row>
    <row r="130" spans="14:18" x14ac:dyDescent="0.2">
      <c r="N130" s="174">
        <v>57</v>
      </c>
      <c r="O130" s="179" t="s">
        <v>243</v>
      </c>
      <c r="P130" s="174">
        <v>56</v>
      </c>
      <c r="Q130" s="174">
        <v>3.1125E-2</v>
      </c>
      <c r="R130" s="178">
        <v>1.7430000000000001</v>
      </c>
    </row>
    <row r="131" spans="14:18" x14ac:dyDescent="0.2">
      <c r="N131" s="174">
        <v>58</v>
      </c>
      <c r="O131" s="179" t="s">
        <v>244</v>
      </c>
      <c r="P131" s="174">
        <v>50</v>
      </c>
      <c r="Q131" s="174">
        <v>3.5000000000000003E-2</v>
      </c>
      <c r="R131" s="178">
        <v>1.75</v>
      </c>
    </row>
    <row r="132" spans="14:18" x14ac:dyDescent="0.2">
      <c r="N132" s="174">
        <v>59</v>
      </c>
      <c r="O132" s="179" t="s">
        <v>245</v>
      </c>
      <c r="P132" s="174">
        <v>140</v>
      </c>
      <c r="Q132" s="174">
        <v>1.2500000000000001E-2</v>
      </c>
      <c r="R132" s="178">
        <v>1.75</v>
      </c>
    </row>
    <row r="133" spans="14:18" x14ac:dyDescent="0.2">
      <c r="N133" s="174">
        <v>60</v>
      </c>
      <c r="O133" s="179" t="s">
        <v>246</v>
      </c>
      <c r="P133" s="88">
        <v>70</v>
      </c>
      <c r="Q133" s="88"/>
      <c r="R133" s="184">
        <v>1.75</v>
      </c>
    </row>
    <row r="134" spans="14:18" x14ac:dyDescent="0.2">
      <c r="N134" s="174">
        <v>61</v>
      </c>
      <c r="O134" s="88"/>
      <c r="P134" s="88"/>
      <c r="Q134" s="88"/>
      <c r="R134" s="184"/>
    </row>
    <row r="135" spans="14:18" x14ac:dyDescent="0.2">
      <c r="N135" s="174">
        <v>62</v>
      </c>
      <c r="O135" s="177" t="s">
        <v>247</v>
      </c>
      <c r="P135" s="174">
        <v>208</v>
      </c>
      <c r="Q135" s="185">
        <v>8.4960000000000001E-3</v>
      </c>
      <c r="R135" s="178">
        <f>Q135*P135</f>
        <v>1.7671680000000001</v>
      </c>
    </row>
    <row r="136" spans="14:18" x14ac:dyDescent="0.2">
      <c r="N136" s="174">
        <v>63</v>
      </c>
      <c r="O136" s="177" t="s">
        <v>248</v>
      </c>
      <c r="P136" s="174">
        <v>160</v>
      </c>
      <c r="Q136" s="185">
        <v>1.1328E-2</v>
      </c>
      <c r="R136" s="178">
        <f t="shared" ref="R136:R140" si="12">Q136*P136</f>
        <v>1.8124799999999999</v>
      </c>
    </row>
    <row r="137" spans="14:18" x14ac:dyDescent="0.2">
      <c r="N137" s="174">
        <v>64</v>
      </c>
      <c r="O137" s="177" t="s">
        <v>249</v>
      </c>
      <c r="P137" s="174">
        <v>104</v>
      </c>
      <c r="Q137" s="185">
        <v>1.6992E-2</v>
      </c>
      <c r="R137" s="178">
        <f t="shared" si="12"/>
        <v>1.7671680000000001</v>
      </c>
    </row>
    <row r="138" spans="14:18" x14ac:dyDescent="0.2">
      <c r="N138" s="174">
        <v>65</v>
      </c>
      <c r="O138" s="177" t="s">
        <v>250</v>
      </c>
      <c r="P138" s="174">
        <v>64</v>
      </c>
      <c r="Q138" s="185">
        <v>2.5488E-2</v>
      </c>
      <c r="R138" s="178">
        <f t="shared" si="12"/>
        <v>1.631232</v>
      </c>
    </row>
    <row r="139" spans="14:18" x14ac:dyDescent="0.2">
      <c r="N139" s="174">
        <v>66</v>
      </c>
      <c r="O139" s="179" t="s">
        <v>251</v>
      </c>
      <c r="P139" s="174">
        <v>48</v>
      </c>
      <c r="Q139" s="185">
        <v>3.3984E-2</v>
      </c>
      <c r="R139" s="178">
        <f t="shared" si="12"/>
        <v>1.631232</v>
      </c>
    </row>
    <row r="140" spans="14:18" x14ac:dyDescent="0.2">
      <c r="N140" s="174">
        <v>67</v>
      </c>
      <c r="O140" s="179" t="s">
        <v>252</v>
      </c>
      <c r="P140" s="174">
        <v>32</v>
      </c>
      <c r="Q140" s="185">
        <v>5.0976E-2</v>
      </c>
      <c r="R140" s="178">
        <f t="shared" si="12"/>
        <v>1.631232</v>
      </c>
    </row>
    <row r="141" spans="14:18" x14ac:dyDescent="0.2">
      <c r="N141" s="174">
        <v>68</v>
      </c>
      <c r="O141" s="88"/>
      <c r="P141" s="88"/>
      <c r="Q141" s="88"/>
      <c r="R141" s="184"/>
    </row>
    <row r="142" spans="14:18" x14ac:dyDescent="0.2">
      <c r="N142" s="174">
        <v>69</v>
      </c>
      <c r="O142" s="177" t="s">
        <v>253</v>
      </c>
      <c r="P142" s="174"/>
      <c r="Q142" s="174"/>
      <c r="R142" s="178">
        <v>1.4</v>
      </c>
    </row>
    <row r="143" spans="14:18" x14ac:dyDescent="0.2">
      <c r="N143" s="174">
        <v>70</v>
      </c>
      <c r="O143" s="177" t="s">
        <v>254</v>
      </c>
      <c r="P143" s="174"/>
      <c r="Q143" s="174"/>
      <c r="R143" s="178">
        <v>1.5</v>
      </c>
    </row>
    <row r="144" spans="14:18" x14ac:dyDescent="0.2">
      <c r="N144" s="174">
        <v>71</v>
      </c>
      <c r="O144" s="177" t="s">
        <v>255</v>
      </c>
      <c r="P144" s="174"/>
      <c r="Q144" s="178"/>
      <c r="R144" s="178">
        <v>1.6</v>
      </c>
    </row>
    <row r="145" spans="14:18" x14ac:dyDescent="0.2">
      <c r="N145" s="174">
        <v>72</v>
      </c>
      <c r="O145" s="177" t="s">
        <v>256</v>
      </c>
      <c r="P145" s="174"/>
      <c r="Q145" s="174"/>
      <c r="R145" s="178">
        <v>1.7</v>
      </c>
    </row>
    <row r="146" spans="14:18" x14ac:dyDescent="0.2">
      <c r="N146" s="174">
        <v>73</v>
      </c>
      <c r="O146" s="177" t="s">
        <v>257</v>
      </c>
      <c r="P146" s="174"/>
      <c r="Q146" s="185"/>
      <c r="R146" s="178">
        <v>1.8</v>
      </c>
    </row>
    <row r="147" spans="14:18" x14ac:dyDescent="0.2">
      <c r="N147" s="174">
        <v>74</v>
      </c>
      <c r="O147" s="177" t="s">
        <v>258</v>
      </c>
      <c r="P147" s="174"/>
      <c r="Q147" s="185"/>
      <c r="R147" s="178">
        <v>1.9</v>
      </c>
    </row>
    <row r="148" spans="14:18" ht="18.75" x14ac:dyDescent="0.25">
      <c r="N148" s="174">
        <v>75</v>
      </c>
      <c r="O148" s="177" t="s">
        <v>259</v>
      </c>
      <c r="P148" s="180"/>
      <c r="Q148" s="180"/>
      <c r="R148" s="181">
        <v>2</v>
      </c>
    </row>
    <row r="149" spans="14:18" x14ac:dyDescent="0.2">
      <c r="N149" s="174">
        <v>76</v>
      </c>
      <c r="O149" s="88"/>
      <c r="P149" s="88"/>
      <c r="Q149" s="88"/>
      <c r="R149" s="184"/>
    </row>
    <row r="150" spans="14:18" x14ac:dyDescent="0.2">
      <c r="N150" s="174">
        <v>77</v>
      </c>
      <c r="O150" s="88"/>
      <c r="P150" s="88"/>
      <c r="Q150" s="88"/>
      <c r="R150" s="184"/>
    </row>
    <row r="151" spans="14:18" x14ac:dyDescent="0.2">
      <c r="N151" s="174">
        <v>78</v>
      </c>
      <c r="O151" s="88"/>
      <c r="P151" s="88"/>
      <c r="Q151" s="88"/>
      <c r="R151" s="184"/>
    </row>
    <row r="152" spans="14:18" x14ac:dyDescent="0.2">
      <c r="N152" s="174">
        <v>79</v>
      </c>
      <c r="O152" s="177"/>
      <c r="P152" s="174"/>
      <c r="Q152" s="185"/>
      <c r="R152" s="178"/>
    </row>
    <row r="153" spans="14:18" x14ac:dyDescent="0.2">
      <c r="N153" s="174">
        <v>80</v>
      </c>
      <c r="O153" s="177"/>
      <c r="P153" s="174"/>
      <c r="Q153" s="174"/>
      <c r="R153" s="178"/>
    </row>
    <row r="154" spans="14:18" x14ac:dyDescent="0.2">
      <c r="N154" s="174">
        <v>81</v>
      </c>
      <c r="O154" s="177"/>
      <c r="P154" s="174"/>
      <c r="Q154" s="174"/>
      <c r="R154" s="178"/>
    </row>
    <row r="155" spans="14:18" x14ac:dyDescent="0.2">
      <c r="N155" s="174">
        <v>82</v>
      </c>
      <c r="O155" s="177"/>
      <c r="P155" s="174"/>
      <c r="Q155" s="174"/>
      <c r="R155" s="178"/>
    </row>
    <row r="156" spans="14:18" x14ac:dyDescent="0.2">
      <c r="N156" s="174">
        <v>83</v>
      </c>
      <c r="O156" s="177"/>
      <c r="P156" s="174"/>
      <c r="Q156" s="178"/>
      <c r="R156" s="178"/>
    </row>
    <row r="157" spans="14:18" x14ac:dyDescent="0.2">
      <c r="N157" s="174">
        <v>84</v>
      </c>
      <c r="O157" s="177"/>
      <c r="P157" s="174"/>
      <c r="Q157" s="174"/>
      <c r="R157" s="178"/>
    </row>
    <row r="158" spans="14:18" x14ac:dyDescent="0.2">
      <c r="N158" s="174">
        <v>85</v>
      </c>
      <c r="O158" s="177"/>
      <c r="P158" s="174"/>
      <c r="Q158" s="185"/>
      <c r="R158" s="178"/>
    </row>
    <row r="159" spans="14:18" x14ac:dyDescent="0.2">
      <c r="N159" s="174">
        <v>86</v>
      </c>
      <c r="O159" s="177"/>
      <c r="P159" s="174"/>
      <c r="Q159" s="185"/>
      <c r="R159" s="178"/>
    </row>
    <row r="160" spans="14:18" x14ac:dyDescent="0.2">
      <c r="N160" s="174">
        <v>87</v>
      </c>
      <c r="O160" s="177"/>
      <c r="P160" s="174"/>
      <c r="Q160" s="185"/>
      <c r="R160" s="178"/>
    </row>
    <row r="161" spans="14:18" x14ac:dyDescent="0.2">
      <c r="N161" s="174">
        <v>88</v>
      </c>
      <c r="O161" s="177"/>
      <c r="P161" s="174"/>
      <c r="Q161" s="174"/>
      <c r="R161" s="178"/>
    </row>
    <row r="162" spans="14:18" x14ac:dyDescent="0.2">
      <c r="N162" s="174">
        <v>89</v>
      </c>
      <c r="O162" s="177"/>
      <c r="P162" s="174"/>
      <c r="Q162" s="174"/>
      <c r="R162" s="178"/>
    </row>
    <row r="163" spans="14:18" x14ac:dyDescent="0.2">
      <c r="N163" s="174">
        <v>90</v>
      </c>
      <c r="O163" s="177"/>
      <c r="P163" s="174"/>
      <c r="Q163" s="174"/>
      <c r="R163" s="178"/>
    </row>
    <row r="164" spans="14:18" x14ac:dyDescent="0.2">
      <c r="N164" s="174">
        <v>91</v>
      </c>
      <c r="O164" s="177"/>
      <c r="P164" s="174"/>
      <c r="Q164" s="174"/>
      <c r="R164" s="178"/>
    </row>
    <row r="165" spans="14:18" x14ac:dyDescent="0.2">
      <c r="N165" s="174">
        <v>92</v>
      </c>
      <c r="O165" s="177"/>
      <c r="P165" s="174"/>
      <c r="Q165" s="174"/>
      <c r="R165" s="178"/>
    </row>
    <row r="166" spans="14:18" x14ac:dyDescent="0.2">
      <c r="N166" s="174">
        <v>93</v>
      </c>
      <c r="O166" s="177"/>
      <c r="P166" s="174"/>
      <c r="Q166" s="178"/>
      <c r="R166" s="178"/>
    </row>
    <row r="167" spans="14:18" x14ac:dyDescent="0.2">
      <c r="N167" s="174">
        <v>94</v>
      </c>
      <c r="O167" s="177"/>
      <c r="P167" s="174"/>
      <c r="Q167" s="174"/>
      <c r="R167" s="178"/>
    </row>
    <row r="168" spans="14:18" x14ac:dyDescent="0.2">
      <c r="N168" s="182"/>
      <c r="O168" s="182"/>
      <c r="P168" s="182"/>
      <c r="Q168" s="182"/>
    </row>
    <row r="169" spans="14:18" x14ac:dyDescent="0.2">
      <c r="N169" s="186"/>
      <c r="O169" s="78"/>
      <c r="P169" s="78"/>
      <c r="Q169" s="78"/>
    </row>
  </sheetData>
  <mergeCells count="40">
    <mergeCell ref="A5:K5"/>
    <mergeCell ref="A6:K6"/>
    <mergeCell ref="A11:D12"/>
    <mergeCell ref="F11:F12"/>
    <mergeCell ref="H11:I11"/>
    <mergeCell ref="J11:J12"/>
    <mergeCell ref="K11:K12"/>
    <mergeCell ref="D25:H25"/>
    <mergeCell ref="A13:D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24:C24"/>
    <mergeCell ref="A41:D41"/>
    <mergeCell ref="A26:B26"/>
    <mergeCell ref="D26:H26"/>
    <mergeCell ref="I26:J26"/>
    <mergeCell ref="D27:H27"/>
    <mergeCell ref="A33:K33"/>
    <mergeCell ref="A34:K34"/>
    <mergeCell ref="A39:D40"/>
    <mergeCell ref="F39:F40"/>
    <mergeCell ref="H39:I39"/>
    <mergeCell ref="J39:J40"/>
    <mergeCell ref="K39:K40"/>
    <mergeCell ref="A48:B48"/>
    <mergeCell ref="A49:B49"/>
    <mergeCell ref="A50:B50"/>
    <mergeCell ref="A42:B42"/>
    <mergeCell ref="A43:B43"/>
    <mergeCell ref="A44:B44"/>
    <mergeCell ref="A45:B45"/>
    <mergeCell ref="A46:B46"/>
    <mergeCell ref="A47:B47"/>
  </mergeCells>
  <dataValidations count="9">
    <dataValidation type="list" allowBlank="1" showInputMessage="1" showErrorMessage="1" sqref="C14:C22" xr:uid="{00000000-0002-0000-0100-000000000000}">
      <formula1>$AD$16:$AD$24</formula1>
    </dataValidation>
    <dataValidation type="list" allowBlank="1" showInputMessage="1" showErrorMessage="1" sqref="D14:D22" xr:uid="{00000000-0002-0000-0100-000001000000}">
      <formula1>$AA$16:$AA$21</formula1>
    </dataValidation>
    <dataValidation type="list" allowBlank="1" showInputMessage="1" showErrorMessage="1" sqref="Z15:Z21" xr:uid="{00000000-0002-0000-0100-000002000000}">
      <formula1>а</formula1>
    </dataValidation>
    <dataValidation type="list" allowBlank="1" showInputMessage="1" showErrorMessage="1" sqref="D10" xr:uid="{00000000-0002-0000-0100-000003000000}">
      <formula1>кладовщик</formula1>
    </dataValidation>
    <dataValidation type="list" allowBlank="1" showInputMessage="1" showErrorMessage="1" sqref="F7:G7 F35:G35" xr:uid="{00000000-0002-0000-0100-000004000000}">
      <formula1>год</formula1>
    </dataValidation>
    <dataValidation type="list" allowBlank="1" showInputMessage="1" showErrorMessage="1" sqref="D7 D35" xr:uid="{00000000-0002-0000-0100-000005000000}">
      <formula1>числа</formula1>
    </dataValidation>
    <dataValidation type="list" allowBlank="1" showInputMessage="1" showErrorMessage="1" sqref="E7 E35" xr:uid="{00000000-0002-0000-0100-000006000000}">
      <formula1>месяц</formula1>
    </dataValidation>
    <dataValidation type="list" allowBlank="1" showInputMessage="1" showErrorMessage="1" sqref="I54 I26" xr:uid="{00000000-0002-0000-0100-000007000000}">
      <formula1>Кладовщики</formula1>
    </dataValidation>
    <dataValidation type="list" allowBlank="1" showInputMessage="1" showErrorMessage="1" sqref="D9 D37" xr:uid="{00000000-0002-0000-0100-000008000000}">
      <formula1>мастера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Drop Down 1">
              <controlPr defaultSize="0" print="0" autoLine="0" autoPict="0">
                <anchor moveWithCells="1">
                  <from>
                    <xdr:col>11</xdr:col>
                    <xdr:colOff>133350</xdr:colOff>
                    <xdr:row>13</xdr:row>
                    <xdr:rowOff>28575</xdr:rowOff>
                  </from>
                  <to>
                    <xdr:col>12</xdr:col>
                    <xdr:colOff>685800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Drop Down 2">
              <controlPr defaultSize="0" print="0" autoLine="0" autoPict="0">
                <anchor moveWithCells="1">
                  <from>
                    <xdr:col>11</xdr:col>
                    <xdr:colOff>142875</xdr:colOff>
                    <xdr:row>14</xdr:row>
                    <xdr:rowOff>19050</xdr:rowOff>
                  </from>
                  <to>
                    <xdr:col>12</xdr:col>
                    <xdr:colOff>685800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print="0" autoLine="0" autoPict="0">
                <anchor moveWithCells="1">
                  <from>
                    <xdr:col>11</xdr:col>
                    <xdr:colOff>180975</xdr:colOff>
                    <xdr:row>15</xdr:row>
                    <xdr:rowOff>0</xdr:rowOff>
                  </from>
                  <to>
                    <xdr:col>12</xdr:col>
                    <xdr:colOff>685800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Drop Down 4">
              <controlPr defaultSize="0" print="0" autoLine="0" autoPict="0">
                <anchor moveWithCells="1">
                  <from>
                    <xdr:col>12</xdr:col>
                    <xdr:colOff>0</xdr:colOff>
                    <xdr:row>16</xdr:row>
                    <xdr:rowOff>28575</xdr:rowOff>
                  </from>
                  <to>
                    <xdr:col>12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Drop Down 5">
              <controlPr defaultSize="0" print="0" autoLine="0" autoPict="0">
                <anchor moveWithCells="1">
                  <from>
                    <xdr:col>12</xdr:col>
                    <xdr:colOff>0</xdr:colOff>
                    <xdr:row>17</xdr:row>
                    <xdr:rowOff>28575</xdr:rowOff>
                  </from>
                  <to>
                    <xdr:col>12</xdr:col>
                    <xdr:colOff>685800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Drop Down 6">
              <controlPr defaultSize="0" print="0" autoLine="0" autoPict="0">
                <anchor moveWithCells="1">
                  <from>
                    <xdr:col>12</xdr:col>
                    <xdr:colOff>0</xdr:colOff>
                    <xdr:row>18</xdr:row>
                    <xdr:rowOff>47625</xdr:rowOff>
                  </from>
                  <to>
                    <xdr:col>12</xdr:col>
                    <xdr:colOff>685800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Drop Down 7">
              <controlPr defaultSize="0" print="0" autoLine="0" autoPict="0">
                <anchor moveWithCells="1">
                  <from>
                    <xdr:col>12</xdr:col>
                    <xdr:colOff>0</xdr:colOff>
                    <xdr:row>19</xdr:row>
                    <xdr:rowOff>38100</xdr:rowOff>
                  </from>
                  <to>
                    <xdr:col>12</xdr:col>
                    <xdr:colOff>685800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Drop Down 8">
              <controlPr defaultSize="0" print="0" autoLine="0" autoPict="0">
                <anchor moveWithCells="1">
                  <from>
                    <xdr:col>12</xdr:col>
                    <xdr:colOff>0</xdr:colOff>
                    <xdr:row>19</xdr:row>
                    <xdr:rowOff>38100</xdr:rowOff>
                  </from>
                  <to>
                    <xdr:col>12</xdr:col>
                    <xdr:colOff>685800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Drop Down 9">
              <controlPr defaultSize="0" print="0" autoLine="0" autoPict="0">
                <anchor moveWithCells="1">
                  <from>
                    <xdr:col>12</xdr:col>
                    <xdr:colOff>0</xdr:colOff>
                    <xdr:row>20</xdr:row>
                    <xdr:rowOff>38100</xdr:rowOff>
                  </from>
                  <to>
                    <xdr:col>12</xdr:col>
                    <xdr:colOff>685800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Drop Down 10">
              <controlPr defaultSize="0" print="0" autoLine="0" autoPict="0">
                <anchor moveWithCells="1">
                  <from>
                    <xdr:col>12</xdr:col>
                    <xdr:colOff>0</xdr:colOff>
                    <xdr:row>20</xdr:row>
                    <xdr:rowOff>38100</xdr:rowOff>
                  </from>
                  <to>
                    <xdr:col>12</xdr:col>
                    <xdr:colOff>685800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Drop Down 11">
              <controlPr defaultSize="0" print="0" autoLine="0" autoPict="0">
                <anchor moveWithCells="1">
                  <from>
                    <xdr:col>12</xdr:col>
                    <xdr:colOff>0</xdr:colOff>
                    <xdr:row>20</xdr:row>
                    <xdr:rowOff>38100</xdr:rowOff>
                  </from>
                  <to>
                    <xdr:col>12</xdr:col>
                    <xdr:colOff>685800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Drop Down 12">
              <controlPr defaultSize="0" print="0" autoLine="0" autoPict="0">
                <anchor moveWithCells="1">
                  <from>
                    <xdr:col>12</xdr:col>
                    <xdr:colOff>0</xdr:colOff>
                    <xdr:row>21</xdr:row>
                    <xdr:rowOff>38100</xdr:rowOff>
                  </from>
                  <to>
                    <xdr:col>12</xdr:col>
                    <xdr:colOff>685800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H43"/>
  <sheetViews>
    <sheetView tabSelected="1" zoomScaleNormal="100" workbookViewId="0">
      <pane xSplit="3" ySplit="3" topLeftCell="D4" activePane="bottomRight" state="frozen"/>
      <selection pane="bottomLeft" activeCell="A4" sqref="A4"/>
      <selection pane="topRight" activeCell="D1" sqref="D1"/>
      <selection pane="bottomRight" activeCell="C14" sqref="C14"/>
    </sheetView>
  </sheetViews>
  <sheetFormatPr defaultRowHeight="15" x14ac:dyDescent="0.2"/>
  <cols>
    <col min="4" max="4" width="5.91796875" hidden="1" customWidth="1"/>
    <col min="5" max="5" width="7.6640625" hidden="1" customWidth="1"/>
    <col min="6" max="6" width="5.91796875" hidden="1" customWidth="1"/>
    <col min="7" max="7" width="4.16796875" hidden="1" customWidth="1"/>
    <col min="8" max="8" width="4.70703125" customWidth="1"/>
    <col min="9" max="9" width="6.9921875" bestFit="1" customWidth="1"/>
    <col min="10" max="10" width="9.81640625" bestFit="1" customWidth="1"/>
    <col min="11" max="11" width="8.47265625" customWidth="1"/>
    <col min="12" max="12" width="7.93359375" customWidth="1"/>
    <col min="13" max="13" width="4.4375" customWidth="1"/>
    <col min="14" max="14" width="6.45703125" customWidth="1"/>
    <col min="15" max="15" width="8.875" customWidth="1"/>
    <col min="16" max="16" width="7.93359375" customWidth="1"/>
    <col min="17" max="17" width="6.45703125" customWidth="1"/>
    <col min="18" max="18" width="4.83984375" customWidth="1"/>
    <col min="19" max="19" width="6.859375" customWidth="1"/>
    <col min="20" max="20" width="8.7421875" customWidth="1"/>
    <col min="21" max="21" width="7.53125" customWidth="1"/>
    <col min="22" max="23" width="7.80078125" customWidth="1"/>
    <col min="24" max="24" width="9.14453125" hidden="1" customWidth="1"/>
    <col min="25" max="25" width="10.76171875" hidden="1" customWidth="1"/>
    <col min="26" max="26" width="12.23828125" hidden="1" customWidth="1"/>
    <col min="27" max="27" width="11.1640625" hidden="1" customWidth="1"/>
    <col min="28" max="28" width="9.14453125" customWidth="1"/>
    <col min="29" max="29" width="18.6953125" customWidth="1"/>
    <col min="30" max="30" width="11.703125" customWidth="1"/>
    <col min="31" max="31" width="10.35546875" customWidth="1"/>
    <col min="32" max="32" width="11.296875" style="66" customWidth="1"/>
  </cols>
  <sheetData>
    <row r="2" spans="1:34" x14ac:dyDescent="0.2">
      <c r="A2" s="335" t="s">
        <v>15</v>
      </c>
      <c r="B2" s="335"/>
      <c r="C2" s="335"/>
      <c r="D2" s="216"/>
      <c r="E2" s="216"/>
      <c r="F2" s="216"/>
      <c r="G2" s="216"/>
      <c r="H2" s="194"/>
      <c r="I2" s="335" t="s">
        <v>263</v>
      </c>
      <c r="J2" s="335"/>
      <c r="K2" s="335"/>
      <c r="L2" s="335"/>
      <c r="N2" s="336" t="s">
        <v>264</v>
      </c>
      <c r="O2" s="336"/>
      <c r="P2" s="336"/>
      <c r="Q2" s="336"/>
      <c r="S2" s="337" t="s">
        <v>265</v>
      </c>
      <c r="T2" s="337"/>
      <c r="U2" s="337"/>
      <c r="V2" s="337"/>
      <c r="W2" s="195"/>
      <c r="X2" s="195"/>
      <c r="Y2" s="195"/>
      <c r="Z2" s="195"/>
      <c r="AA2" s="195"/>
      <c r="AB2" s="186"/>
      <c r="AC2" s="186"/>
      <c r="AD2" s="186"/>
      <c r="AE2" s="186"/>
      <c r="AF2" s="257"/>
      <c r="AG2" s="186"/>
      <c r="AH2" s="186"/>
    </row>
    <row r="3" spans="1:34" ht="27.75" customHeight="1" x14ac:dyDescent="0.2">
      <c r="I3" s="338" t="s">
        <v>266</v>
      </c>
      <c r="J3" s="339"/>
      <c r="K3" s="339"/>
      <c r="L3" s="340"/>
      <c r="N3" s="338" t="s">
        <v>267</v>
      </c>
      <c r="O3" s="339"/>
      <c r="P3" s="339"/>
      <c r="Q3" s="340"/>
      <c r="S3" s="341" t="s">
        <v>268</v>
      </c>
      <c r="T3" s="342"/>
      <c r="U3" s="342"/>
      <c r="V3" s="343"/>
      <c r="X3" s="331" t="s">
        <v>269</v>
      </c>
      <c r="Y3" s="332"/>
      <c r="Z3" s="332"/>
      <c r="AA3" s="332"/>
      <c r="AB3" s="186"/>
      <c r="AC3" s="333"/>
      <c r="AD3" s="333"/>
      <c r="AE3" s="333"/>
      <c r="AF3" s="333"/>
      <c r="AG3" s="186"/>
      <c r="AH3" s="186"/>
    </row>
    <row r="4" spans="1:34" ht="64.5" customHeight="1" x14ac:dyDescent="0.2">
      <c r="A4" s="196" t="s">
        <v>270</v>
      </c>
      <c r="B4" s="196" t="s">
        <v>271</v>
      </c>
      <c r="C4" s="196" t="s">
        <v>272</v>
      </c>
      <c r="D4" s="198" t="s">
        <v>286</v>
      </c>
      <c r="E4" s="198" t="s">
        <v>287</v>
      </c>
      <c r="F4" s="237" t="s">
        <v>288</v>
      </c>
      <c r="G4" s="237" t="s">
        <v>289</v>
      </c>
      <c r="H4" s="197"/>
      <c r="I4" s="237" t="s">
        <v>273</v>
      </c>
      <c r="J4" s="238" t="s">
        <v>274</v>
      </c>
      <c r="K4" s="237" t="s">
        <v>275</v>
      </c>
      <c r="L4" s="237" t="s">
        <v>276</v>
      </c>
      <c r="M4" s="64"/>
      <c r="N4" s="237" t="s">
        <v>273</v>
      </c>
      <c r="O4" s="238" t="s">
        <v>274</v>
      </c>
      <c r="P4" s="237" t="s">
        <v>275</v>
      </c>
      <c r="Q4" s="237" t="s">
        <v>276</v>
      </c>
      <c r="R4" s="64"/>
      <c r="S4" s="237" t="s">
        <v>273</v>
      </c>
      <c r="T4" s="238" t="s">
        <v>274</v>
      </c>
      <c r="U4" s="237" t="s">
        <v>275</v>
      </c>
      <c r="V4" s="237" t="s">
        <v>276</v>
      </c>
      <c r="X4" s="198" t="s">
        <v>273</v>
      </c>
      <c r="Y4" s="198" t="s">
        <v>274</v>
      </c>
      <c r="Z4" s="198" t="s">
        <v>275</v>
      </c>
      <c r="AA4" s="255" t="s">
        <v>276</v>
      </c>
      <c r="AB4" s="186"/>
      <c r="AC4" s="247"/>
      <c r="AD4" s="245"/>
      <c r="AE4" s="245"/>
      <c r="AF4" s="246"/>
      <c r="AG4" s="186"/>
      <c r="AH4" s="186"/>
    </row>
    <row r="5" spans="1:34" x14ac:dyDescent="0.2">
      <c r="A5" s="199"/>
      <c r="B5" s="199"/>
      <c r="C5" s="199"/>
      <c r="D5" s="344"/>
      <c r="E5" s="347"/>
      <c r="F5" s="344"/>
      <c r="G5" s="344"/>
      <c r="H5" s="205"/>
      <c r="I5" s="200"/>
      <c r="J5" s="206"/>
      <c r="K5" s="201"/>
      <c r="L5" s="202"/>
      <c r="N5" s="200"/>
      <c r="O5" s="206"/>
      <c r="P5" s="201"/>
      <c r="Q5" s="203"/>
      <c r="S5" s="200"/>
      <c r="T5" s="206"/>
      <c r="U5" s="201"/>
      <c r="V5" s="203"/>
      <c r="X5" s="203"/>
      <c r="Y5" s="204"/>
      <c r="Z5" s="203"/>
      <c r="AA5" s="256"/>
      <c r="AB5" s="186"/>
      <c r="AC5" s="186"/>
      <c r="AD5" s="186"/>
      <c r="AE5" s="245"/>
      <c r="AF5" s="246"/>
      <c r="AG5" s="186"/>
      <c r="AH5" s="186"/>
    </row>
    <row r="6" spans="1:34" x14ac:dyDescent="0.2">
      <c r="A6" s="207">
        <v>625</v>
      </c>
      <c r="B6" s="207">
        <v>100</v>
      </c>
      <c r="C6" s="207">
        <v>250</v>
      </c>
      <c r="D6" s="344"/>
      <c r="E6" s="347"/>
      <c r="F6" s="344"/>
      <c r="G6" s="344"/>
      <c r="H6" s="1"/>
      <c r="I6" s="200">
        <v>120</v>
      </c>
      <c r="J6" s="206">
        <f t="shared" ref="J6:J22" si="0">A6/1000*B6/1000*C6/1000*I6</f>
        <v>1.875</v>
      </c>
      <c r="K6" s="208">
        <f t="shared" ref="K6:K14" si="1">I6/8*B6</f>
        <v>1500</v>
      </c>
      <c r="L6" s="209">
        <f t="shared" ref="L6:L22" si="2">K6+125</f>
        <v>1625</v>
      </c>
      <c r="N6" s="200">
        <v>96</v>
      </c>
      <c r="O6" s="206">
        <f t="shared" ref="O6:O13" si="3">A6/1000*B6/1000*C6/1000*N6</f>
        <v>1.5</v>
      </c>
      <c r="P6" s="210">
        <f t="shared" ref="P6:P13" si="4">N6/8*B6</f>
        <v>1200</v>
      </c>
      <c r="Q6" s="192">
        <f t="shared" ref="Q6:Q22" si="5">P6+125</f>
        <v>1325</v>
      </c>
      <c r="S6" s="200">
        <v>112</v>
      </c>
      <c r="T6" s="206">
        <f>A6/1000*B6/1000*C6/1000*S6</f>
        <v>1.75</v>
      </c>
      <c r="U6" s="193">
        <f>S6/8*B6</f>
        <v>1400</v>
      </c>
      <c r="V6" s="190">
        <f t="shared" ref="V6:V9" si="6">U6+125</f>
        <v>1525</v>
      </c>
      <c r="X6" s="211">
        <v>80</v>
      </c>
      <c r="Y6" s="191">
        <f t="shared" ref="Y6:Y22" si="7">A6/1000*B6/1000*C6/1000*X6</f>
        <v>1.25</v>
      </c>
      <c r="Z6" s="190">
        <f t="shared" ref="Z6:Z14" si="8">X6/8*B6</f>
        <v>1000</v>
      </c>
      <c r="AA6" s="239">
        <f>Z6+125</f>
        <v>1125</v>
      </c>
      <c r="AB6" s="186"/>
      <c r="AC6" s="186"/>
      <c r="AD6" s="186"/>
      <c r="AE6" s="186"/>
      <c r="AF6" s="257"/>
      <c r="AG6" s="186"/>
      <c r="AH6" s="186"/>
    </row>
    <row r="7" spans="1:34" x14ac:dyDescent="0.2">
      <c r="A7" s="207">
        <v>625</v>
      </c>
      <c r="B7" s="207">
        <v>120</v>
      </c>
      <c r="C7" s="207">
        <v>250</v>
      </c>
      <c r="D7" s="344"/>
      <c r="E7" s="347"/>
      <c r="F7" s="344"/>
      <c r="G7" s="344"/>
      <c r="H7" s="1"/>
      <c r="I7" s="200">
        <v>104</v>
      </c>
      <c r="J7" s="206">
        <f t="shared" si="0"/>
        <v>1.95</v>
      </c>
      <c r="K7" s="208">
        <f t="shared" si="1"/>
        <v>1560</v>
      </c>
      <c r="L7" s="209">
        <f t="shared" si="2"/>
        <v>1685</v>
      </c>
      <c r="N7" s="200">
        <v>80</v>
      </c>
      <c r="O7" s="206">
        <f t="shared" si="3"/>
        <v>1.5</v>
      </c>
      <c r="P7" s="210">
        <f t="shared" si="4"/>
        <v>1200</v>
      </c>
      <c r="Q7" s="192">
        <f t="shared" si="5"/>
        <v>1325</v>
      </c>
      <c r="S7" s="200">
        <v>88</v>
      </c>
      <c r="T7" s="206">
        <f t="shared" ref="T7:T8" si="9">A7/1000*B7/1000*C7/1000*S7</f>
        <v>1.65</v>
      </c>
      <c r="U7" s="193">
        <f t="shared" ref="U7:U8" si="10">S7/8*B7</f>
        <v>1320</v>
      </c>
      <c r="V7" s="190">
        <f t="shared" si="6"/>
        <v>1445</v>
      </c>
      <c r="X7" s="211">
        <v>64</v>
      </c>
      <c r="Y7" s="191">
        <f t="shared" si="7"/>
        <v>1.2</v>
      </c>
      <c r="Z7" s="190">
        <f t="shared" si="8"/>
        <v>960</v>
      </c>
      <c r="AA7" s="239">
        <f t="shared" ref="AA7:AA22" si="11">Z7+125</f>
        <v>1085</v>
      </c>
      <c r="AB7" s="186"/>
      <c r="AC7" s="186"/>
      <c r="AD7" s="186"/>
      <c r="AE7" s="186"/>
      <c r="AF7" s="257"/>
      <c r="AG7" s="186"/>
      <c r="AH7" s="186"/>
    </row>
    <row r="8" spans="1:34" x14ac:dyDescent="0.2">
      <c r="A8" s="207">
        <v>625</v>
      </c>
      <c r="B8" s="207">
        <v>150</v>
      </c>
      <c r="C8" s="207">
        <v>250</v>
      </c>
      <c r="D8" s="344"/>
      <c r="E8" s="347"/>
      <c r="F8" s="344"/>
      <c r="G8" s="344"/>
      <c r="H8" s="1"/>
      <c r="I8" s="200">
        <v>80</v>
      </c>
      <c r="J8" s="206">
        <f t="shared" si="0"/>
        <v>1.875</v>
      </c>
      <c r="K8" s="208">
        <f t="shared" si="1"/>
        <v>1500</v>
      </c>
      <c r="L8" s="209">
        <f t="shared" si="2"/>
        <v>1625</v>
      </c>
      <c r="N8" s="200">
        <v>64</v>
      </c>
      <c r="O8" s="206">
        <f t="shared" si="3"/>
        <v>1.5</v>
      </c>
      <c r="P8" s="210">
        <f t="shared" si="4"/>
        <v>1200</v>
      </c>
      <c r="Q8" s="192">
        <f t="shared" si="5"/>
        <v>1325</v>
      </c>
      <c r="S8" s="200">
        <v>72</v>
      </c>
      <c r="T8" s="206">
        <f t="shared" si="9"/>
        <v>1.6875</v>
      </c>
      <c r="U8" s="193">
        <f t="shared" si="10"/>
        <v>1350</v>
      </c>
      <c r="V8" s="190">
        <f t="shared" si="6"/>
        <v>1475</v>
      </c>
      <c r="X8" s="211">
        <v>48</v>
      </c>
      <c r="Y8" s="191">
        <f t="shared" si="7"/>
        <v>1.125</v>
      </c>
      <c r="Z8" s="190">
        <f t="shared" si="8"/>
        <v>900</v>
      </c>
      <c r="AA8" s="239">
        <f t="shared" si="11"/>
        <v>1025</v>
      </c>
      <c r="AB8" s="186"/>
      <c r="AC8" s="186"/>
      <c r="AD8" s="186"/>
      <c r="AE8" s="186"/>
      <c r="AF8" s="257"/>
      <c r="AG8" s="186"/>
      <c r="AH8" s="186"/>
    </row>
    <row r="9" spans="1:34" x14ac:dyDescent="0.2">
      <c r="A9" s="207">
        <v>625</v>
      </c>
      <c r="B9" s="207">
        <v>200</v>
      </c>
      <c r="C9" s="207">
        <v>250</v>
      </c>
      <c r="D9" s="344"/>
      <c r="E9" s="347"/>
      <c r="F9" s="344"/>
      <c r="G9" s="344"/>
      <c r="H9" s="1"/>
      <c r="I9" s="200">
        <v>64</v>
      </c>
      <c r="J9" s="206">
        <f t="shared" si="0"/>
        <v>2</v>
      </c>
      <c r="K9" s="208">
        <f t="shared" si="1"/>
        <v>1600</v>
      </c>
      <c r="L9" s="209">
        <f t="shared" si="2"/>
        <v>1725</v>
      </c>
      <c r="N9" s="200">
        <v>48</v>
      </c>
      <c r="O9" s="206">
        <f t="shared" si="3"/>
        <v>1.5</v>
      </c>
      <c r="P9" s="210">
        <f t="shared" si="4"/>
        <v>1200</v>
      </c>
      <c r="Q9" s="192">
        <f t="shared" si="5"/>
        <v>1325</v>
      </c>
      <c r="S9" s="200">
        <v>56</v>
      </c>
      <c r="T9" s="206">
        <f>A9/1000*B9/1000*C9/1000*S9</f>
        <v>1.75</v>
      </c>
      <c r="U9" s="193">
        <f>S9/8*B9</f>
        <v>1400</v>
      </c>
      <c r="V9" s="190">
        <f t="shared" si="6"/>
        <v>1525</v>
      </c>
      <c r="X9" s="211">
        <v>40</v>
      </c>
      <c r="Y9" s="191">
        <f t="shared" si="7"/>
        <v>1.25</v>
      </c>
      <c r="Z9" s="190">
        <f t="shared" si="8"/>
        <v>1000</v>
      </c>
      <c r="AA9" s="192">
        <f t="shared" si="11"/>
        <v>1125</v>
      </c>
    </row>
    <row r="10" spans="1:34" x14ac:dyDescent="0.2">
      <c r="A10" s="207">
        <v>625</v>
      </c>
      <c r="B10" s="207">
        <v>250</v>
      </c>
      <c r="C10" s="207">
        <v>250</v>
      </c>
      <c r="D10" s="344"/>
      <c r="E10" s="347"/>
      <c r="F10" s="344"/>
      <c r="G10" s="344"/>
      <c r="H10" s="1"/>
      <c r="I10" s="200">
        <v>48</v>
      </c>
      <c r="J10" s="206">
        <f t="shared" si="0"/>
        <v>1.875</v>
      </c>
      <c r="K10" s="208">
        <f t="shared" si="1"/>
        <v>1500</v>
      </c>
      <c r="L10" s="209">
        <f t="shared" si="2"/>
        <v>1625</v>
      </c>
      <c r="N10" s="200"/>
      <c r="O10" s="206"/>
      <c r="P10" s="210"/>
      <c r="Q10" s="192"/>
      <c r="S10" s="200"/>
      <c r="T10" s="206"/>
      <c r="U10" s="193">
        <f t="shared" ref="U10" si="12">S10/8*B10</f>
        <v>0</v>
      </c>
      <c r="V10" s="190"/>
      <c r="X10" s="211">
        <v>32</v>
      </c>
      <c r="Y10" s="191">
        <f t="shared" si="7"/>
        <v>1.25</v>
      </c>
      <c r="Z10" s="190">
        <f t="shared" si="8"/>
        <v>1000</v>
      </c>
      <c r="AA10" s="192">
        <f t="shared" si="11"/>
        <v>1125</v>
      </c>
    </row>
    <row r="11" spans="1:34" x14ac:dyDescent="0.2">
      <c r="A11" s="207">
        <v>625</v>
      </c>
      <c r="B11" s="207">
        <v>300</v>
      </c>
      <c r="C11" s="207">
        <v>250</v>
      </c>
      <c r="D11" s="344"/>
      <c r="E11" s="347"/>
      <c r="F11" s="344"/>
      <c r="G11" s="344"/>
      <c r="H11" s="1"/>
      <c r="I11" s="200">
        <v>40</v>
      </c>
      <c r="J11" s="206">
        <f t="shared" si="0"/>
        <v>1.875</v>
      </c>
      <c r="K11" s="208">
        <f t="shared" si="1"/>
        <v>1500</v>
      </c>
      <c r="L11" s="209">
        <f t="shared" si="2"/>
        <v>1625</v>
      </c>
      <c r="N11" s="200">
        <v>32</v>
      </c>
      <c r="O11" s="206">
        <f t="shared" si="3"/>
        <v>1.5</v>
      </c>
      <c r="P11" s="210">
        <f t="shared" si="4"/>
        <v>1200</v>
      </c>
      <c r="Q11" s="192">
        <f t="shared" si="5"/>
        <v>1325</v>
      </c>
      <c r="S11" s="200"/>
      <c r="T11" s="206"/>
      <c r="U11" s="210"/>
      <c r="V11" s="192"/>
      <c r="X11" s="211">
        <v>24</v>
      </c>
      <c r="Y11" s="191">
        <f t="shared" si="7"/>
        <v>1.125</v>
      </c>
      <c r="Z11" s="190">
        <f t="shared" si="8"/>
        <v>900</v>
      </c>
      <c r="AA11" s="192">
        <f t="shared" si="11"/>
        <v>1025</v>
      </c>
    </row>
    <row r="12" spans="1:34" x14ac:dyDescent="0.2">
      <c r="A12" s="207">
        <v>625</v>
      </c>
      <c r="B12" s="207">
        <v>375</v>
      </c>
      <c r="C12" s="207">
        <v>250</v>
      </c>
      <c r="D12" s="344"/>
      <c r="E12" s="347"/>
      <c r="F12" s="344"/>
      <c r="G12" s="344"/>
      <c r="H12" s="1"/>
      <c r="I12" s="200">
        <v>32</v>
      </c>
      <c r="J12" s="206">
        <f t="shared" si="0"/>
        <v>1.875</v>
      </c>
      <c r="K12" s="208">
        <f t="shared" si="1"/>
        <v>1500</v>
      </c>
      <c r="L12" s="209">
        <f t="shared" si="2"/>
        <v>1625</v>
      </c>
      <c r="N12" s="200">
        <v>24</v>
      </c>
      <c r="O12" s="206">
        <f t="shared" si="3"/>
        <v>1.40625</v>
      </c>
      <c r="P12" s="210">
        <f t="shared" si="4"/>
        <v>1125</v>
      </c>
      <c r="Q12" s="192">
        <f t="shared" si="5"/>
        <v>1250</v>
      </c>
      <c r="S12" s="200"/>
      <c r="T12" s="206"/>
      <c r="U12" s="210"/>
      <c r="V12" s="192"/>
      <c r="X12" s="211">
        <v>16</v>
      </c>
      <c r="Y12" s="191">
        <f t="shared" si="7"/>
        <v>0.9375</v>
      </c>
      <c r="Z12" s="190">
        <f t="shared" si="8"/>
        <v>750</v>
      </c>
      <c r="AA12" s="192">
        <f t="shared" si="11"/>
        <v>875</v>
      </c>
    </row>
    <row r="13" spans="1:34" x14ac:dyDescent="0.2">
      <c r="A13" s="207">
        <v>625</v>
      </c>
      <c r="B13" s="207">
        <v>400</v>
      </c>
      <c r="C13" s="207">
        <v>250</v>
      </c>
      <c r="D13" s="344"/>
      <c r="E13" s="347"/>
      <c r="F13" s="344"/>
      <c r="G13" s="344"/>
      <c r="H13" s="1"/>
      <c r="I13" s="200">
        <v>32</v>
      </c>
      <c r="J13" s="206">
        <f t="shared" si="0"/>
        <v>2</v>
      </c>
      <c r="K13" s="208">
        <f t="shared" si="1"/>
        <v>1600</v>
      </c>
      <c r="L13" s="209">
        <f t="shared" si="2"/>
        <v>1725</v>
      </c>
      <c r="N13" s="200">
        <v>24</v>
      </c>
      <c r="O13" s="206">
        <f t="shared" si="3"/>
        <v>1.5</v>
      </c>
      <c r="P13" s="210">
        <f t="shared" si="4"/>
        <v>1200</v>
      </c>
      <c r="Q13" s="192">
        <f t="shared" si="5"/>
        <v>1325</v>
      </c>
      <c r="S13" s="200"/>
      <c r="T13" s="206"/>
      <c r="U13" s="210"/>
      <c r="V13" s="192"/>
      <c r="X13" s="211">
        <v>16</v>
      </c>
      <c r="Y13" s="191">
        <f t="shared" si="7"/>
        <v>1</v>
      </c>
      <c r="Z13" s="190">
        <f t="shared" si="8"/>
        <v>800</v>
      </c>
      <c r="AA13" s="192">
        <f t="shared" si="11"/>
        <v>925</v>
      </c>
    </row>
    <row r="14" spans="1:34" x14ac:dyDescent="0.2">
      <c r="A14" s="207">
        <v>625</v>
      </c>
      <c r="B14" s="207">
        <v>500</v>
      </c>
      <c r="C14" s="207">
        <v>250</v>
      </c>
      <c r="D14" s="344"/>
      <c r="E14" s="347"/>
      <c r="F14" s="344"/>
      <c r="G14" s="344"/>
      <c r="H14" s="1"/>
      <c r="I14" s="200">
        <v>24</v>
      </c>
      <c r="J14" s="206">
        <f t="shared" si="0"/>
        <v>1.875</v>
      </c>
      <c r="K14" s="208">
        <f t="shared" si="1"/>
        <v>1500</v>
      </c>
      <c r="L14" s="209">
        <f t="shared" si="2"/>
        <v>1625</v>
      </c>
      <c r="N14" s="200"/>
      <c r="O14" s="206"/>
      <c r="P14" s="210"/>
      <c r="Q14" s="192"/>
      <c r="S14" s="200"/>
      <c r="T14" s="206"/>
      <c r="U14" s="210"/>
      <c r="V14" s="192"/>
      <c r="X14" s="211">
        <v>16</v>
      </c>
      <c r="Y14" s="191">
        <f t="shared" si="7"/>
        <v>1.25</v>
      </c>
      <c r="Z14" s="190">
        <f t="shared" si="8"/>
        <v>1000</v>
      </c>
      <c r="AA14" s="192">
        <f t="shared" si="11"/>
        <v>1125</v>
      </c>
    </row>
    <row r="15" spans="1:34" x14ac:dyDescent="0.2">
      <c r="A15" s="199">
        <v>625</v>
      </c>
      <c r="B15" s="199">
        <v>100</v>
      </c>
      <c r="C15" s="199">
        <v>200</v>
      </c>
      <c r="D15" s="344"/>
      <c r="E15" s="347"/>
      <c r="F15" s="344"/>
      <c r="G15" s="344"/>
      <c r="H15" s="1"/>
      <c r="I15" s="200">
        <v>150</v>
      </c>
      <c r="J15" s="206">
        <f t="shared" si="0"/>
        <v>1.875</v>
      </c>
      <c r="K15" s="212">
        <f t="shared" ref="K15:K18" si="13">I15/10*B15</f>
        <v>1500</v>
      </c>
      <c r="L15" s="202">
        <f t="shared" si="2"/>
        <v>1625</v>
      </c>
      <c r="N15" s="200">
        <v>120</v>
      </c>
      <c r="O15" s="206">
        <f t="shared" ref="O15:O19" si="14">A15/1000*B15/1000*C15/1000*N15</f>
        <v>1.5</v>
      </c>
      <c r="P15" s="201">
        <f t="shared" ref="P15:P19" si="15">N15/10*B15</f>
        <v>1200</v>
      </c>
      <c r="Q15" s="203">
        <f t="shared" ref="Q15:Q19" si="16">P15+125</f>
        <v>1325</v>
      </c>
      <c r="S15" s="200">
        <v>140</v>
      </c>
      <c r="T15" s="206">
        <f>A15/1000*B15/1000*C15/1000*S15</f>
        <v>1.75</v>
      </c>
      <c r="U15" s="201">
        <f>S15/10*B15</f>
        <v>1400</v>
      </c>
      <c r="V15" s="203">
        <f t="shared" ref="V15:V19" si="17">U15+125</f>
        <v>1525</v>
      </c>
      <c r="X15" s="211"/>
      <c r="Y15" s="191"/>
      <c r="Z15" s="190"/>
      <c r="AA15" s="192"/>
    </row>
    <row r="16" spans="1:34" x14ac:dyDescent="0.2">
      <c r="A16" s="199">
        <v>625</v>
      </c>
      <c r="B16" s="199">
        <v>120</v>
      </c>
      <c r="C16" s="199">
        <v>200</v>
      </c>
      <c r="D16" s="344"/>
      <c r="E16" s="347"/>
      <c r="F16" s="344"/>
      <c r="G16" s="344"/>
      <c r="H16" s="1"/>
      <c r="I16" s="200">
        <v>130</v>
      </c>
      <c r="J16" s="206">
        <f t="shared" ref="J16" si="18">A16/1000*B16/1000*C16/1000*I16</f>
        <v>1.95</v>
      </c>
      <c r="K16" s="212">
        <f t="shared" ref="K16" si="19">I16/10*B16</f>
        <v>1560</v>
      </c>
      <c r="L16" s="202">
        <f t="shared" ref="L16" si="20">K16+125</f>
        <v>1685</v>
      </c>
      <c r="N16" s="200">
        <v>100</v>
      </c>
      <c r="O16" s="206">
        <f t="shared" ref="O16" si="21">A16/1000*B16/1000*C16/1000*N16</f>
        <v>1.5</v>
      </c>
      <c r="P16" s="201">
        <f t="shared" ref="P16" si="22">N16/10*B16</f>
        <v>1200</v>
      </c>
      <c r="Q16" s="203">
        <f t="shared" ref="Q16" si="23">P16+125</f>
        <v>1325</v>
      </c>
      <c r="S16" s="200">
        <v>110</v>
      </c>
      <c r="T16" s="206">
        <f>A16/1000*B16/1000*C16/1000*S16</f>
        <v>1.65</v>
      </c>
      <c r="U16" s="201">
        <f>S16/10*B16</f>
        <v>1320</v>
      </c>
      <c r="V16" s="203">
        <f t="shared" ref="V16" si="24">U16+125</f>
        <v>1445</v>
      </c>
      <c r="X16" s="211"/>
      <c r="Y16" s="235"/>
      <c r="Z16" s="190"/>
      <c r="AA16" s="236"/>
    </row>
    <row r="17" spans="1:32" x14ac:dyDescent="0.2">
      <c r="A17" s="199">
        <v>625</v>
      </c>
      <c r="B17" s="199">
        <v>150</v>
      </c>
      <c r="C17" s="199">
        <v>200</v>
      </c>
      <c r="D17" s="344"/>
      <c r="E17" s="347"/>
      <c r="F17" s="344"/>
      <c r="G17" s="344"/>
      <c r="H17" s="1"/>
      <c r="I17" s="200">
        <v>100</v>
      </c>
      <c r="J17" s="206">
        <f t="shared" ref="J17" si="25">A17/1000*B17/1000*C17/1000*I17</f>
        <v>1.875</v>
      </c>
      <c r="K17" s="212">
        <f t="shared" ref="K17" si="26">I17/10*B17</f>
        <v>1500</v>
      </c>
      <c r="L17" s="202">
        <f t="shared" ref="L17" si="27">K17+125</f>
        <v>1625</v>
      </c>
      <c r="N17" s="200">
        <v>80</v>
      </c>
      <c r="O17" s="206">
        <f t="shared" ref="O17" si="28">A17/1000*B17/1000*C17/1000*N17</f>
        <v>1.5</v>
      </c>
      <c r="P17" s="201">
        <f t="shared" ref="P17" si="29">N17/10*B17</f>
        <v>1200</v>
      </c>
      <c r="Q17" s="203">
        <f t="shared" ref="Q17" si="30">P17+125</f>
        <v>1325</v>
      </c>
      <c r="S17" s="200">
        <v>90</v>
      </c>
      <c r="T17" s="206">
        <f>A17/1000*B17/1000*C17/1000*S17</f>
        <v>1.6875</v>
      </c>
      <c r="U17" s="201">
        <f>S17/10*B17</f>
        <v>1350</v>
      </c>
      <c r="V17" s="203">
        <f t="shared" ref="V17" si="31">U17+125</f>
        <v>1475</v>
      </c>
      <c r="X17" s="211"/>
      <c r="Y17" s="235"/>
      <c r="Z17" s="190"/>
      <c r="AA17" s="236"/>
    </row>
    <row r="18" spans="1:32" x14ac:dyDescent="0.2">
      <c r="A18" s="199">
        <v>625</v>
      </c>
      <c r="B18" s="199">
        <v>200</v>
      </c>
      <c r="C18" s="199">
        <v>200</v>
      </c>
      <c r="D18" s="344"/>
      <c r="E18" s="347"/>
      <c r="F18" s="344"/>
      <c r="G18" s="344"/>
      <c r="H18" s="1"/>
      <c r="I18" s="200">
        <v>80</v>
      </c>
      <c r="J18" s="206">
        <f t="shared" si="0"/>
        <v>2</v>
      </c>
      <c r="K18" s="212">
        <f t="shared" si="13"/>
        <v>1600</v>
      </c>
      <c r="L18" s="202">
        <f t="shared" si="2"/>
        <v>1725</v>
      </c>
      <c r="N18" s="200">
        <v>60</v>
      </c>
      <c r="O18" s="206">
        <f t="shared" si="14"/>
        <v>1.5</v>
      </c>
      <c r="P18" s="201">
        <f t="shared" si="15"/>
        <v>1200</v>
      </c>
      <c r="Q18" s="203">
        <f t="shared" si="16"/>
        <v>1325</v>
      </c>
      <c r="S18" s="200">
        <v>70</v>
      </c>
      <c r="T18" s="206">
        <f>A18/1000*B18/1000*C18/1000*S18</f>
        <v>1.75</v>
      </c>
      <c r="U18" s="201">
        <f>S18/10*B18</f>
        <v>1400</v>
      </c>
      <c r="V18" s="203">
        <f t="shared" si="17"/>
        <v>1525</v>
      </c>
      <c r="X18" s="211"/>
      <c r="Y18" s="191"/>
      <c r="Z18" s="190"/>
      <c r="AA18" s="192"/>
    </row>
    <row r="19" spans="1:32" x14ac:dyDescent="0.2">
      <c r="A19" s="199">
        <v>625</v>
      </c>
      <c r="B19" s="199">
        <v>280</v>
      </c>
      <c r="C19" s="199">
        <v>200</v>
      </c>
      <c r="D19" s="344"/>
      <c r="E19" s="347"/>
      <c r="F19" s="344"/>
      <c r="G19" s="344"/>
      <c r="H19" s="1"/>
      <c r="I19" s="200"/>
      <c r="J19" s="206"/>
      <c r="K19" s="212"/>
      <c r="L19" s="202"/>
      <c r="N19" s="200">
        <v>40</v>
      </c>
      <c r="O19" s="206">
        <f t="shared" si="14"/>
        <v>1.4000000000000001</v>
      </c>
      <c r="P19" s="201">
        <f t="shared" si="15"/>
        <v>1120</v>
      </c>
      <c r="Q19" s="203">
        <f t="shared" si="16"/>
        <v>1245</v>
      </c>
      <c r="S19" s="200">
        <v>50</v>
      </c>
      <c r="T19" s="206">
        <f>A19/1000*B19/1000*C19/1000*S19</f>
        <v>1.7500000000000002</v>
      </c>
      <c r="U19" s="201">
        <f>S19/10*B19</f>
        <v>1400</v>
      </c>
      <c r="V19" s="203">
        <f t="shared" si="17"/>
        <v>1525</v>
      </c>
      <c r="X19" s="211"/>
      <c r="Y19" s="191"/>
      <c r="Z19" s="190"/>
      <c r="AA19" s="192"/>
    </row>
    <row r="20" spans="1:32" x14ac:dyDescent="0.2">
      <c r="A20" s="199">
        <v>625</v>
      </c>
      <c r="B20" s="199">
        <v>300</v>
      </c>
      <c r="C20" s="199">
        <v>200</v>
      </c>
      <c r="D20" s="344"/>
      <c r="E20" s="347"/>
      <c r="F20" s="344"/>
      <c r="G20" s="344"/>
      <c r="H20" s="1"/>
      <c r="I20" s="200">
        <v>50</v>
      </c>
      <c r="J20" s="206">
        <f t="shared" si="0"/>
        <v>1.875</v>
      </c>
      <c r="K20" s="212">
        <f>I20/10*B20</f>
        <v>1500</v>
      </c>
      <c r="L20" s="202">
        <f t="shared" si="2"/>
        <v>1625</v>
      </c>
      <c r="N20" s="200">
        <v>40</v>
      </c>
      <c r="O20" s="206">
        <f>A20/1000*B20/1000*C20/1000*N20</f>
        <v>1.5</v>
      </c>
      <c r="P20" s="201">
        <f>N20/10*B20</f>
        <v>1200</v>
      </c>
      <c r="Q20" s="203">
        <f>P20+125</f>
        <v>1325</v>
      </c>
      <c r="S20" s="200"/>
      <c r="T20" s="206"/>
      <c r="U20" s="201"/>
      <c r="V20" s="203"/>
      <c r="X20" s="203">
        <v>30</v>
      </c>
      <c r="Y20" s="204">
        <f t="shared" si="7"/>
        <v>1.125</v>
      </c>
      <c r="Z20" s="203">
        <f>X20/10*B20</f>
        <v>900</v>
      </c>
      <c r="AA20" s="203">
        <f>Z20+125</f>
        <v>1025</v>
      </c>
    </row>
    <row r="21" spans="1:32" x14ac:dyDescent="0.2">
      <c r="A21" s="199">
        <v>625</v>
      </c>
      <c r="B21" s="199">
        <v>375</v>
      </c>
      <c r="C21" s="199">
        <v>200</v>
      </c>
      <c r="D21" s="344"/>
      <c r="E21" s="347"/>
      <c r="F21" s="344"/>
      <c r="G21" s="344"/>
      <c r="H21" s="1"/>
      <c r="I21" s="200">
        <v>40</v>
      </c>
      <c r="J21" s="206">
        <f t="shared" si="0"/>
        <v>1.875</v>
      </c>
      <c r="K21" s="212">
        <f>I21/10*B21</f>
        <v>1500</v>
      </c>
      <c r="L21" s="202">
        <f t="shared" si="2"/>
        <v>1625</v>
      </c>
      <c r="N21" s="200">
        <v>30</v>
      </c>
      <c r="O21" s="206">
        <v>1.4061999999999999</v>
      </c>
      <c r="P21" s="201">
        <f>N21/10*B21</f>
        <v>1125</v>
      </c>
      <c r="Q21" s="203">
        <f>P21+125</f>
        <v>1250</v>
      </c>
      <c r="S21" s="200"/>
      <c r="T21" s="206"/>
      <c r="U21" s="201"/>
      <c r="V21" s="203"/>
      <c r="X21" s="203">
        <v>20</v>
      </c>
      <c r="Y21" s="204">
        <f t="shared" si="7"/>
        <v>0.9375</v>
      </c>
      <c r="Z21" s="203">
        <f>X21/10*B21</f>
        <v>750</v>
      </c>
      <c r="AA21" s="203">
        <f>Z21+125</f>
        <v>875</v>
      </c>
    </row>
    <row r="22" spans="1:32" ht="15.75" thickBot="1" x14ac:dyDescent="0.25">
      <c r="A22" s="199">
        <v>625</v>
      </c>
      <c r="B22" s="199">
        <v>400</v>
      </c>
      <c r="C22" s="199">
        <v>200</v>
      </c>
      <c r="D22" s="345"/>
      <c r="E22" s="348"/>
      <c r="F22" s="345"/>
      <c r="G22" s="345"/>
      <c r="H22" s="1"/>
      <c r="I22" s="200">
        <v>40</v>
      </c>
      <c r="J22" s="213">
        <f t="shared" si="0"/>
        <v>2</v>
      </c>
      <c r="K22" s="212">
        <f>I22/10*B22</f>
        <v>1600</v>
      </c>
      <c r="L22" s="202">
        <f t="shared" si="2"/>
        <v>1725</v>
      </c>
      <c r="N22" s="200">
        <v>30</v>
      </c>
      <c r="O22" s="213">
        <f>A22/1000*B22/1000*C22/1000*N22</f>
        <v>1.5</v>
      </c>
      <c r="P22" s="201">
        <f>N22/10*B22</f>
        <v>1200</v>
      </c>
      <c r="Q22" s="203">
        <f t="shared" si="5"/>
        <v>1325</v>
      </c>
      <c r="S22" s="200"/>
      <c r="T22" s="213"/>
      <c r="U22" s="201"/>
      <c r="V22" s="203"/>
      <c r="X22" s="203">
        <v>20</v>
      </c>
      <c r="Y22" s="204">
        <f t="shared" si="7"/>
        <v>1</v>
      </c>
      <c r="Z22" s="203">
        <f>X22/10*B22</f>
        <v>800</v>
      </c>
      <c r="AA22" s="203">
        <f t="shared" si="11"/>
        <v>925</v>
      </c>
    </row>
    <row r="23" spans="1:32" x14ac:dyDescent="0.2">
      <c r="A23" s="214"/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X23" s="334" t="s">
        <v>277</v>
      </c>
      <c r="Y23" s="334"/>
      <c r="Z23" s="334"/>
      <c r="AA23" s="334"/>
    </row>
    <row r="24" spans="1:32" x14ac:dyDescent="0.2">
      <c r="A24" s="333"/>
      <c r="B24" s="333"/>
      <c r="C24" s="333"/>
      <c r="D24" s="240"/>
      <c r="E24" s="240"/>
      <c r="F24" s="240"/>
      <c r="G24" s="240"/>
      <c r="H24" s="186"/>
      <c r="I24" s="333"/>
      <c r="J24" s="333"/>
      <c r="K24" s="333"/>
      <c r="L24" s="241"/>
      <c r="M24" s="242"/>
      <c r="N24" s="242"/>
      <c r="O24" s="242"/>
      <c r="P24" s="242"/>
      <c r="Q24" s="242"/>
      <c r="R24" s="242"/>
      <c r="S24" s="242"/>
      <c r="T24" s="242"/>
      <c r="U24" s="242"/>
      <c r="V24" s="242"/>
    </row>
    <row r="25" spans="1:32" x14ac:dyDescent="0.2">
      <c r="A25" s="243"/>
      <c r="B25" s="243"/>
      <c r="C25" s="243"/>
      <c r="D25" s="243"/>
      <c r="E25" s="243"/>
      <c r="F25" s="243"/>
      <c r="G25" s="243"/>
      <c r="H25" s="243"/>
      <c r="I25" s="244"/>
      <c r="J25" s="244"/>
      <c r="K25" s="244"/>
      <c r="L25" s="244"/>
      <c r="M25" s="242"/>
      <c r="N25" s="242"/>
      <c r="O25" s="242"/>
      <c r="P25" s="242"/>
      <c r="Q25" s="242"/>
      <c r="R25" s="242"/>
      <c r="S25" s="242"/>
      <c r="T25" s="242"/>
      <c r="U25" s="242"/>
    </row>
    <row r="26" spans="1:32" s="78" customFormat="1" x14ac:dyDescent="0.2">
      <c r="A26" s="249"/>
      <c r="B26" s="249"/>
      <c r="C26" s="249"/>
      <c r="D26" s="346"/>
      <c r="E26" s="346"/>
      <c r="F26" s="349"/>
      <c r="G26" s="349"/>
      <c r="H26" s="250"/>
      <c r="I26" s="245"/>
      <c r="J26" s="246"/>
      <c r="K26" s="251"/>
      <c r="L26" s="251"/>
      <c r="M26" s="186"/>
      <c r="N26" s="245"/>
      <c r="O26" s="246"/>
      <c r="P26" s="247"/>
      <c r="Q26" s="247"/>
      <c r="R26" s="186"/>
      <c r="S26" s="245"/>
      <c r="T26" s="246"/>
      <c r="U26" s="247"/>
      <c r="V26" s="205"/>
      <c r="AF26" s="252"/>
    </row>
    <row r="27" spans="1:32" s="78" customFormat="1" x14ac:dyDescent="0.2">
      <c r="A27" s="249"/>
      <c r="B27" s="249"/>
      <c r="C27" s="249"/>
      <c r="D27" s="346"/>
      <c r="E27" s="346"/>
      <c r="F27" s="349"/>
      <c r="G27" s="349"/>
      <c r="H27" s="250"/>
      <c r="I27" s="245"/>
      <c r="J27" s="246"/>
      <c r="K27" s="251"/>
      <c r="L27" s="251"/>
      <c r="M27" s="186"/>
      <c r="N27" s="245"/>
      <c r="O27" s="246"/>
      <c r="P27" s="247"/>
      <c r="Q27" s="247"/>
      <c r="R27" s="186"/>
      <c r="S27" s="245"/>
      <c r="T27" s="246"/>
      <c r="U27" s="247"/>
      <c r="V27" s="205"/>
      <c r="AF27" s="252"/>
    </row>
    <row r="28" spans="1:32" s="78" customFormat="1" x14ac:dyDescent="0.2">
      <c r="A28" s="249"/>
      <c r="B28" s="249"/>
      <c r="C28" s="249"/>
      <c r="D28" s="346"/>
      <c r="E28" s="346"/>
      <c r="F28" s="349"/>
      <c r="G28" s="349"/>
      <c r="H28" s="248"/>
      <c r="I28" s="245"/>
      <c r="J28" s="246"/>
      <c r="K28" s="251"/>
      <c r="L28" s="251"/>
      <c r="M28" s="186"/>
      <c r="N28" s="245"/>
      <c r="O28" s="246"/>
      <c r="P28" s="247"/>
      <c r="Q28" s="247"/>
      <c r="R28" s="186"/>
      <c r="S28" s="245"/>
      <c r="T28" s="246"/>
      <c r="U28" s="247"/>
      <c r="V28" s="205"/>
      <c r="AF28" s="252"/>
    </row>
    <row r="29" spans="1:32" s="78" customFormat="1" x14ac:dyDescent="0.2">
      <c r="A29" s="249"/>
      <c r="B29" s="249"/>
      <c r="C29" s="249"/>
      <c r="D29" s="346"/>
      <c r="E29" s="346"/>
      <c r="F29" s="349"/>
      <c r="G29" s="349"/>
      <c r="H29" s="248"/>
      <c r="I29" s="245"/>
      <c r="J29" s="246"/>
      <c r="K29" s="253"/>
      <c r="L29" s="251"/>
      <c r="M29" s="186"/>
      <c r="N29" s="245"/>
      <c r="O29" s="246"/>
      <c r="P29" s="247"/>
      <c r="Q29" s="247"/>
      <c r="R29" s="186"/>
      <c r="S29" s="245"/>
      <c r="T29" s="246"/>
      <c r="U29" s="247"/>
      <c r="V29" s="205"/>
      <c r="AF29" s="252"/>
    </row>
    <row r="30" spans="1:32" s="78" customFormat="1" x14ac:dyDescent="0.2">
      <c r="A30" s="249"/>
      <c r="B30" s="249"/>
      <c r="C30" s="249"/>
      <c r="D30" s="346"/>
      <c r="E30" s="346"/>
      <c r="F30" s="349"/>
      <c r="G30" s="349"/>
      <c r="H30" s="248"/>
      <c r="I30" s="245"/>
      <c r="J30" s="246"/>
      <c r="K30" s="251"/>
      <c r="L30" s="251"/>
      <c r="M30" s="186"/>
      <c r="N30" s="245"/>
      <c r="O30" s="246"/>
      <c r="P30" s="247"/>
      <c r="Q30" s="247"/>
      <c r="R30" s="186"/>
      <c r="S30" s="245"/>
      <c r="T30" s="246"/>
      <c r="U30" s="247"/>
      <c r="V30" s="205"/>
      <c r="AF30" s="252"/>
    </row>
    <row r="31" spans="1:32" s="78" customFormat="1" x14ac:dyDescent="0.2">
      <c r="A31" s="249"/>
      <c r="B31" s="249"/>
      <c r="C31" s="249"/>
      <c r="D31" s="346"/>
      <c r="E31" s="346"/>
      <c r="F31" s="349"/>
      <c r="G31" s="349"/>
      <c r="H31" s="248"/>
      <c r="I31" s="245"/>
      <c r="J31" s="246"/>
      <c r="K31" s="251"/>
      <c r="L31" s="251"/>
      <c r="M31" s="186"/>
      <c r="N31" s="245"/>
      <c r="O31" s="246"/>
      <c r="P31" s="247"/>
      <c r="Q31" s="247"/>
      <c r="R31" s="186"/>
      <c r="S31" s="245"/>
      <c r="T31" s="246"/>
      <c r="U31" s="247"/>
      <c r="V31" s="205"/>
      <c r="AF31" s="252"/>
    </row>
    <row r="32" spans="1:32" s="78" customFormat="1" x14ac:dyDescent="0.2">
      <c r="A32" s="249"/>
      <c r="B32" s="249"/>
      <c r="C32" s="249"/>
      <c r="D32" s="346"/>
      <c r="E32" s="346"/>
      <c r="F32" s="349"/>
      <c r="G32" s="349"/>
      <c r="H32" s="248"/>
      <c r="I32" s="245"/>
      <c r="J32" s="246"/>
      <c r="K32" s="251"/>
      <c r="L32" s="251"/>
      <c r="M32" s="186"/>
      <c r="N32" s="245"/>
      <c r="O32" s="246"/>
      <c r="P32" s="247"/>
      <c r="Q32" s="247"/>
      <c r="R32" s="186"/>
      <c r="S32" s="245"/>
      <c r="T32" s="246"/>
      <c r="U32" s="247"/>
      <c r="V32" s="205"/>
      <c r="AF32" s="252"/>
    </row>
    <row r="33" spans="1:32" s="78" customFormat="1" x14ac:dyDescent="0.2">
      <c r="A33" s="249"/>
      <c r="B33" s="249"/>
      <c r="C33" s="249"/>
      <c r="D33" s="346"/>
      <c r="E33" s="346"/>
      <c r="F33" s="349"/>
      <c r="G33" s="349"/>
      <c r="H33" s="248"/>
      <c r="I33" s="245"/>
      <c r="J33" s="246"/>
      <c r="K33" s="251"/>
      <c r="L33" s="251"/>
      <c r="M33" s="186"/>
      <c r="N33" s="245"/>
      <c r="O33" s="246"/>
      <c r="P33" s="247"/>
      <c r="Q33" s="247"/>
      <c r="R33" s="186"/>
      <c r="S33" s="245"/>
      <c r="T33" s="246"/>
      <c r="U33" s="247"/>
      <c r="V33" s="205"/>
      <c r="AF33" s="252"/>
    </row>
    <row r="34" spans="1:32" s="78" customFormat="1" x14ac:dyDescent="0.2">
      <c r="A34" s="249"/>
      <c r="B34" s="249"/>
      <c r="C34" s="249"/>
      <c r="D34" s="346"/>
      <c r="E34" s="346"/>
      <c r="F34" s="349"/>
      <c r="G34" s="349"/>
      <c r="H34" s="248"/>
      <c r="I34" s="245"/>
      <c r="J34" s="246"/>
      <c r="K34" s="251"/>
      <c r="L34" s="251"/>
      <c r="M34" s="186"/>
      <c r="N34" s="245"/>
      <c r="O34" s="246"/>
      <c r="P34" s="247"/>
      <c r="Q34" s="247"/>
      <c r="R34" s="186"/>
      <c r="S34" s="186"/>
      <c r="T34" s="186"/>
      <c r="U34" s="186"/>
      <c r="V34" s="254"/>
      <c r="AF34" s="252"/>
    </row>
    <row r="35" spans="1:32" s="78" customFormat="1" x14ac:dyDescent="0.2">
      <c r="A35" s="249"/>
      <c r="B35" s="249"/>
      <c r="C35" s="249"/>
      <c r="D35" s="346"/>
      <c r="E35" s="346"/>
      <c r="F35" s="349"/>
      <c r="G35" s="349"/>
      <c r="H35" s="248"/>
      <c r="I35" s="245"/>
      <c r="J35" s="246"/>
      <c r="K35" s="251"/>
      <c r="L35" s="251"/>
      <c r="M35" s="186"/>
      <c r="N35" s="245"/>
      <c r="O35" s="246"/>
      <c r="P35" s="247"/>
      <c r="Q35" s="247"/>
      <c r="R35" s="186"/>
      <c r="S35" s="186"/>
      <c r="T35" s="186"/>
      <c r="U35" s="186"/>
      <c r="AF35" s="252"/>
    </row>
    <row r="36" spans="1:32" s="78" customFormat="1" x14ac:dyDescent="0.2">
      <c r="A36" s="249"/>
      <c r="B36" s="249"/>
      <c r="C36" s="249"/>
      <c r="D36" s="346"/>
      <c r="E36" s="346"/>
      <c r="F36" s="349"/>
      <c r="G36" s="349"/>
      <c r="H36" s="248"/>
      <c r="I36" s="245"/>
      <c r="J36" s="246"/>
      <c r="K36" s="251"/>
      <c r="L36" s="251"/>
      <c r="M36" s="186"/>
      <c r="N36" s="245"/>
      <c r="O36" s="246"/>
      <c r="P36" s="247"/>
      <c r="Q36" s="247"/>
      <c r="R36" s="186"/>
      <c r="S36" s="186"/>
      <c r="T36" s="186"/>
      <c r="U36" s="186"/>
      <c r="AF36" s="252"/>
    </row>
    <row r="37" spans="1:32" s="78" customFormat="1" x14ac:dyDescent="0.2">
      <c r="A37" s="249"/>
      <c r="B37" s="249"/>
      <c r="C37" s="249"/>
      <c r="D37" s="346"/>
      <c r="E37" s="346"/>
      <c r="F37" s="349"/>
      <c r="G37" s="349"/>
      <c r="H37" s="248"/>
      <c r="I37" s="245"/>
      <c r="J37" s="246"/>
      <c r="K37" s="251"/>
      <c r="L37" s="251"/>
      <c r="M37" s="186"/>
      <c r="N37" s="245"/>
      <c r="O37" s="246"/>
      <c r="P37" s="247"/>
      <c r="Q37" s="247"/>
      <c r="R37" s="186"/>
      <c r="S37" s="186"/>
      <c r="T37" s="186"/>
      <c r="U37" s="186"/>
      <c r="AF37" s="252"/>
    </row>
    <row r="38" spans="1:32" s="78" customFormat="1" x14ac:dyDescent="0.2">
      <c r="A38" s="249"/>
      <c r="B38" s="249"/>
      <c r="C38" s="249"/>
      <c r="D38" s="346"/>
      <c r="E38" s="346"/>
      <c r="F38" s="349"/>
      <c r="G38" s="349"/>
      <c r="H38" s="248"/>
      <c r="I38" s="245"/>
      <c r="J38" s="246"/>
      <c r="K38" s="251"/>
      <c r="L38" s="251"/>
      <c r="M38" s="186"/>
      <c r="N38" s="245"/>
      <c r="O38" s="246"/>
      <c r="P38" s="247"/>
      <c r="Q38" s="247"/>
      <c r="R38" s="186"/>
      <c r="S38" s="186"/>
      <c r="T38" s="186"/>
      <c r="U38" s="186"/>
      <c r="AF38" s="252"/>
    </row>
    <row r="39" spans="1:32" s="78" customFormat="1" x14ac:dyDescent="0.2">
      <c r="A39" s="249"/>
      <c r="B39" s="249"/>
      <c r="C39" s="249"/>
      <c r="D39" s="346"/>
      <c r="E39" s="346"/>
      <c r="F39" s="349"/>
      <c r="G39" s="349"/>
      <c r="H39" s="248"/>
      <c r="I39" s="245"/>
      <c r="J39" s="246"/>
      <c r="K39" s="251"/>
      <c r="L39" s="251"/>
      <c r="M39" s="186"/>
      <c r="N39" s="245"/>
      <c r="O39" s="246"/>
      <c r="P39" s="247"/>
      <c r="Q39" s="186"/>
      <c r="R39" s="186"/>
      <c r="S39" s="186"/>
      <c r="T39" s="186"/>
      <c r="U39" s="186"/>
      <c r="AF39" s="252"/>
    </row>
    <row r="40" spans="1:32" s="78" customFormat="1" x14ac:dyDescent="0.2">
      <c r="A40" s="249"/>
      <c r="B40" s="249"/>
      <c r="C40" s="249"/>
      <c r="D40" s="346"/>
      <c r="E40" s="346"/>
      <c r="F40" s="349"/>
      <c r="G40" s="349"/>
      <c r="H40" s="248"/>
      <c r="I40" s="245"/>
      <c r="J40" s="246"/>
      <c r="K40" s="251"/>
      <c r="L40" s="251"/>
      <c r="M40" s="186"/>
      <c r="N40" s="245"/>
      <c r="O40" s="246"/>
      <c r="P40" s="247"/>
      <c r="Q40" s="247"/>
      <c r="R40" s="186"/>
      <c r="S40" s="186"/>
      <c r="T40" s="186"/>
      <c r="U40" s="186"/>
      <c r="AF40" s="252"/>
    </row>
    <row r="41" spans="1:32" s="78" customFormat="1" x14ac:dyDescent="0.2">
      <c r="A41" s="249"/>
      <c r="B41" s="249"/>
      <c r="C41" s="249"/>
      <c r="D41" s="346"/>
      <c r="E41" s="346"/>
      <c r="F41" s="349"/>
      <c r="G41" s="349"/>
      <c r="H41" s="248"/>
      <c r="I41" s="245"/>
      <c r="J41" s="246"/>
      <c r="K41" s="251"/>
      <c r="L41" s="251"/>
      <c r="M41" s="186"/>
      <c r="N41" s="245"/>
      <c r="O41" s="246"/>
      <c r="P41" s="247"/>
      <c r="Q41" s="247"/>
      <c r="R41" s="186"/>
      <c r="S41" s="186"/>
      <c r="T41" s="186"/>
      <c r="U41" s="186"/>
      <c r="AF41" s="252"/>
    </row>
    <row r="42" spans="1:32" s="78" customFormat="1" x14ac:dyDescent="0.2">
      <c r="A42" s="249"/>
      <c r="B42" s="249"/>
      <c r="C42" s="249"/>
      <c r="D42" s="346"/>
      <c r="E42" s="346"/>
      <c r="F42" s="349"/>
      <c r="G42" s="349"/>
      <c r="H42" s="248"/>
      <c r="I42" s="245"/>
      <c r="J42" s="246"/>
      <c r="K42" s="251"/>
      <c r="L42" s="251"/>
      <c r="M42" s="186"/>
      <c r="N42" s="245"/>
      <c r="O42" s="246"/>
      <c r="P42" s="247"/>
      <c r="Q42" s="247"/>
      <c r="R42" s="186"/>
      <c r="S42" s="186"/>
      <c r="T42" s="186"/>
      <c r="U42" s="186"/>
      <c r="AF42" s="252"/>
    </row>
    <row r="43" spans="1:32" s="78" customFormat="1" x14ac:dyDescent="0.2">
      <c r="A43" s="247"/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AF43" s="252"/>
    </row>
  </sheetData>
  <mergeCells count="20">
    <mergeCell ref="A24:C24"/>
    <mergeCell ref="I24:K24"/>
    <mergeCell ref="D5:D22"/>
    <mergeCell ref="D26:D42"/>
    <mergeCell ref="E5:E22"/>
    <mergeCell ref="E26:E42"/>
    <mergeCell ref="F5:F22"/>
    <mergeCell ref="F26:F42"/>
    <mergeCell ref="G5:G22"/>
    <mergeCell ref="G26:G42"/>
    <mergeCell ref="X3:AA3"/>
    <mergeCell ref="AC3:AF3"/>
    <mergeCell ref="X23:AA23"/>
    <mergeCell ref="A2:C2"/>
    <mergeCell ref="I2:L2"/>
    <mergeCell ref="N2:Q2"/>
    <mergeCell ref="S2:V2"/>
    <mergeCell ref="I3:L3"/>
    <mergeCell ref="N3:Q3"/>
    <mergeCell ref="S3:V3"/>
  </mergeCells>
  <pageMargins left="0.70866141732283472" right="0.70866141732283472" top="0" bottom="0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92"/>
  <sheetViews>
    <sheetView topLeftCell="A76" workbookViewId="0">
      <selection activeCell="C88" sqref="C88:C89"/>
    </sheetView>
  </sheetViews>
  <sheetFormatPr defaultRowHeight="15" x14ac:dyDescent="0.2"/>
  <cols>
    <col min="2" max="2" width="8.203125" bestFit="1" customWidth="1"/>
    <col min="3" max="3" width="25.2890625" bestFit="1" customWidth="1"/>
    <col min="4" max="4" width="22.1953125" bestFit="1" customWidth="1"/>
  </cols>
  <sheetData>
    <row r="2" spans="2:8" ht="15.75" thickBot="1" x14ac:dyDescent="0.25"/>
    <row r="3" spans="2:8" ht="55.5" thickBot="1" x14ac:dyDescent="0.25">
      <c r="C3" s="2" t="s">
        <v>14</v>
      </c>
      <c r="D3" s="3" t="s">
        <v>15</v>
      </c>
      <c r="E3" s="4" t="s">
        <v>16</v>
      </c>
      <c r="F3" s="5" t="s">
        <v>17</v>
      </c>
      <c r="G3" s="6" t="s">
        <v>18</v>
      </c>
    </row>
    <row r="4" spans="2:8" x14ac:dyDescent="0.2">
      <c r="B4" s="350">
        <v>75</v>
      </c>
      <c r="C4" s="353" t="s">
        <v>19</v>
      </c>
      <c r="D4" s="7" t="s">
        <v>20</v>
      </c>
      <c r="E4" s="8">
        <f>0.625*0.075*0.249*24*4</f>
        <v>1.1205000000000001</v>
      </c>
      <c r="F4" s="8">
        <f t="shared" ref="F4:F9" si="0">E4*18</f>
        <v>20.169</v>
      </c>
      <c r="G4" s="355">
        <f>SUM(F4:F5)</f>
        <v>100.845</v>
      </c>
      <c r="H4" s="9">
        <f>F4/G4</f>
        <v>0.2</v>
      </c>
    </row>
    <row r="5" spans="2:8" x14ac:dyDescent="0.2">
      <c r="B5" s="351"/>
      <c r="C5" s="354"/>
      <c r="D5" s="10" t="s">
        <v>21</v>
      </c>
      <c r="E5" s="11">
        <f>0.625*0.3*0.249*24*4</f>
        <v>4.4820000000000002</v>
      </c>
      <c r="F5" s="11">
        <f t="shared" si="0"/>
        <v>80.676000000000002</v>
      </c>
      <c r="G5" s="356"/>
      <c r="H5" s="12">
        <f>F5/G4</f>
        <v>0.8</v>
      </c>
    </row>
    <row r="6" spans="2:8" x14ac:dyDescent="0.2">
      <c r="B6" s="351"/>
      <c r="C6" s="354" t="s">
        <v>19</v>
      </c>
      <c r="D6" s="13" t="s">
        <v>22</v>
      </c>
      <c r="E6" s="11">
        <f>0.625*0.075*0.249*24*8</f>
        <v>2.2410000000000001</v>
      </c>
      <c r="F6" s="11">
        <f t="shared" si="0"/>
        <v>40.338000000000001</v>
      </c>
      <c r="G6" s="357">
        <f>SUM(F6:F7)</f>
        <v>100.845</v>
      </c>
      <c r="H6" s="9">
        <f>F6/G6</f>
        <v>0.4</v>
      </c>
    </row>
    <row r="7" spans="2:8" x14ac:dyDescent="0.2">
      <c r="B7" s="351"/>
      <c r="C7" s="354"/>
      <c r="D7" s="10" t="s">
        <v>23</v>
      </c>
      <c r="E7" s="11">
        <f>0.625*0.3*0.249*24*3</f>
        <v>3.3615000000000004</v>
      </c>
      <c r="F7" s="11">
        <f t="shared" si="0"/>
        <v>60.507000000000005</v>
      </c>
      <c r="G7" s="356"/>
      <c r="H7" s="12">
        <f>F7/G6</f>
        <v>0.60000000000000009</v>
      </c>
    </row>
    <row r="8" spans="2:8" x14ac:dyDescent="0.2">
      <c r="B8" s="351"/>
      <c r="C8" s="354" t="s">
        <v>24</v>
      </c>
      <c r="D8" s="13" t="s">
        <v>20</v>
      </c>
      <c r="E8" s="11">
        <f>0.625*0.075*0.249*24*4</f>
        <v>1.1205000000000001</v>
      </c>
      <c r="F8" s="11">
        <f t="shared" si="0"/>
        <v>20.169</v>
      </c>
      <c r="G8" s="357">
        <f>SUM(F8:F9)</f>
        <v>100.845</v>
      </c>
      <c r="H8" s="9">
        <f>F8/G8</f>
        <v>0.2</v>
      </c>
    </row>
    <row r="9" spans="2:8" ht="15.75" thickBot="1" x14ac:dyDescent="0.25">
      <c r="B9" s="352"/>
      <c r="C9" s="354"/>
      <c r="D9" s="10" t="s">
        <v>25</v>
      </c>
      <c r="E9" s="11">
        <f>0.625*0.4*0.249*24*3</f>
        <v>4.4820000000000002</v>
      </c>
      <c r="F9" s="11">
        <f t="shared" si="0"/>
        <v>80.676000000000002</v>
      </c>
      <c r="G9" s="356"/>
      <c r="H9" s="12">
        <f>F9/G8</f>
        <v>0.8</v>
      </c>
    </row>
    <row r="10" spans="2:8" x14ac:dyDescent="0.2">
      <c r="B10" s="350">
        <v>80</v>
      </c>
      <c r="C10" s="358" t="s">
        <v>26</v>
      </c>
      <c r="D10" s="14" t="s">
        <v>7</v>
      </c>
      <c r="E10" s="15">
        <f>0.625*0.08*0.249*24*6</f>
        <v>1.7928000000000002</v>
      </c>
      <c r="F10" s="15">
        <f>E10*18</f>
        <v>32.270400000000002</v>
      </c>
      <c r="G10" s="357">
        <f>SUM(F10:F11)</f>
        <v>99.500400000000013</v>
      </c>
      <c r="H10" s="9">
        <f>F10/G10</f>
        <v>0.32432432432432429</v>
      </c>
    </row>
    <row r="11" spans="2:8" x14ac:dyDescent="0.2">
      <c r="B11" s="351"/>
      <c r="C11" s="358"/>
      <c r="D11" s="16" t="s">
        <v>27</v>
      </c>
      <c r="E11" s="15">
        <f>0.625*0.5*0.249*24*2</f>
        <v>3.7350000000000003</v>
      </c>
      <c r="F11" s="15">
        <f>E11*18</f>
        <v>67.23</v>
      </c>
      <c r="G11" s="356"/>
      <c r="H11" s="12">
        <f>F11/G10</f>
        <v>0.67567567567567566</v>
      </c>
    </row>
    <row r="12" spans="2:8" x14ac:dyDescent="0.2">
      <c r="B12" s="351"/>
      <c r="C12" s="358" t="s">
        <v>28</v>
      </c>
      <c r="D12" s="14" t="s">
        <v>7</v>
      </c>
      <c r="E12" s="15">
        <f>0.625*0.08*0.249*24*6</f>
        <v>1.7928000000000002</v>
      </c>
      <c r="F12" s="15">
        <f t="shared" ref="F12:F13" si="1">E12*18</f>
        <v>32.270400000000002</v>
      </c>
      <c r="G12" s="357">
        <f>SUM(F12:F13)</f>
        <v>99.500400000000013</v>
      </c>
      <c r="H12" s="9">
        <f>F12/G12</f>
        <v>0.32432432432432429</v>
      </c>
    </row>
    <row r="13" spans="2:8" x14ac:dyDescent="0.2">
      <c r="B13" s="351"/>
      <c r="C13" s="358"/>
      <c r="D13" s="16" t="s">
        <v>29</v>
      </c>
      <c r="E13" s="15">
        <f>0.625*0.2*0.249*24*5</f>
        <v>3.7349999999999999</v>
      </c>
      <c r="F13" s="15">
        <f t="shared" si="1"/>
        <v>67.23</v>
      </c>
      <c r="G13" s="356"/>
      <c r="H13" s="12">
        <f>F13/G12</f>
        <v>0.67567567567567566</v>
      </c>
    </row>
    <row r="14" spans="2:8" x14ac:dyDescent="0.2">
      <c r="B14" s="351"/>
      <c r="C14" s="358" t="s">
        <v>30</v>
      </c>
      <c r="D14" s="14" t="s">
        <v>31</v>
      </c>
      <c r="E14" s="15">
        <f>0.625*0.08*0.249*24*7</f>
        <v>2.0916000000000001</v>
      </c>
      <c r="F14" s="15">
        <f>E14*18</f>
        <v>37.648800000000001</v>
      </c>
      <c r="G14" s="357">
        <f t="shared" ref="G14" si="2">SUM(F14:F15)</f>
        <v>98.155799999999999</v>
      </c>
      <c r="H14" s="9">
        <f t="shared" ref="H14" si="3">F14/G14</f>
        <v>0.38356164383561647</v>
      </c>
    </row>
    <row r="15" spans="2:8" ht="15.75" thickBot="1" x14ac:dyDescent="0.25">
      <c r="B15" s="352"/>
      <c r="C15" s="358"/>
      <c r="D15" s="16" t="s">
        <v>23</v>
      </c>
      <c r="E15" s="15">
        <f>0.625*0.3*0.249*24*3</f>
        <v>3.3615000000000004</v>
      </c>
      <c r="F15" s="15">
        <f>E15*18</f>
        <v>60.507000000000005</v>
      </c>
      <c r="G15" s="356"/>
      <c r="H15" s="12">
        <f>F15/G14</f>
        <v>0.61643835616438358</v>
      </c>
    </row>
    <row r="16" spans="2:8" x14ac:dyDescent="0.2">
      <c r="B16" s="350">
        <v>100</v>
      </c>
      <c r="C16" s="359" t="s">
        <v>32</v>
      </c>
      <c r="D16" s="17" t="s">
        <v>33</v>
      </c>
      <c r="E16" s="18">
        <f>0.625*0.1*0.249*24*1</f>
        <v>0.3735</v>
      </c>
      <c r="F16" s="18">
        <f t="shared" ref="F16:F21" si="4">E16*18</f>
        <v>6.7229999999999999</v>
      </c>
      <c r="G16" s="357">
        <f>SUM(F16:F17)</f>
        <v>100.845</v>
      </c>
      <c r="H16" s="9">
        <f t="shared" ref="H16" si="5">F16/G16</f>
        <v>6.6666666666666666E-2</v>
      </c>
    </row>
    <row r="17" spans="2:8" x14ac:dyDescent="0.2">
      <c r="B17" s="351"/>
      <c r="C17" s="359"/>
      <c r="D17" s="19" t="s">
        <v>34</v>
      </c>
      <c r="E17" s="18">
        <f>0.625*0.2*0.249*24*7</f>
        <v>5.2290000000000001</v>
      </c>
      <c r="F17" s="18">
        <f t="shared" si="4"/>
        <v>94.122</v>
      </c>
      <c r="G17" s="356"/>
      <c r="H17" s="12">
        <f t="shared" ref="H17" si="6">F17/G16</f>
        <v>0.93333333333333335</v>
      </c>
    </row>
    <row r="18" spans="2:8" x14ac:dyDescent="0.2">
      <c r="B18" s="351"/>
      <c r="C18" s="359" t="s">
        <v>32</v>
      </c>
      <c r="D18" s="17" t="s">
        <v>9</v>
      </c>
      <c r="E18" s="18">
        <f>0.625*0.1*0.249*24*3</f>
        <v>1.1205000000000001</v>
      </c>
      <c r="F18" s="18">
        <f t="shared" si="4"/>
        <v>20.169</v>
      </c>
      <c r="G18" s="357">
        <f>SUM(F18:F19)</f>
        <v>100.845</v>
      </c>
      <c r="H18" s="9">
        <f t="shared" ref="H18" si="7">F18/G18</f>
        <v>0.2</v>
      </c>
    </row>
    <row r="19" spans="2:8" x14ac:dyDescent="0.2">
      <c r="B19" s="351"/>
      <c r="C19" s="359"/>
      <c r="D19" s="19" t="s">
        <v>35</v>
      </c>
      <c r="E19" s="18">
        <f>0.625*0.2*0.249*24*6</f>
        <v>4.4820000000000002</v>
      </c>
      <c r="F19" s="18">
        <f t="shared" si="4"/>
        <v>80.676000000000002</v>
      </c>
      <c r="G19" s="356"/>
      <c r="H19" s="12">
        <f t="shared" ref="H19" si="8">F19/G18</f>
        <v>0.8</v>
      </c>
    </row>
    <row r="20" spans="2:8" x14ac:dyDescent="0.2">
      <c r="B20" s="351"/>
      <c r="C20" s="359" t="s">
        <v>32</v>
      </c>
      <c r="D20" s="17" t="s">
        <v>36</v>
      </c>
      <c r="E20" s="18">
        <f>0.625*0.1*0.249*24*5</f>
        <v>1.8674999999999999</v>
      </c>
      <c r="F20" s="18">
        <f t="shared" si="4"/>
        <v>33.615000000000002</v>
      </c>
      <c r="G20" s="357">
        <f>SUM(F20:F21)</f>
        <v>100.845</v>
      </c>
      <c r="H20" s="9">
        <f t="shared" ref="H20" si="9">F20/G20</f>
        <v>0.33333333333333337</v>
      </c>
    </row>
    <row r="21" spans="2:8" x14ac:dyDescent="0.2">
      <c r="B21" s="351"/>
      <c r="C21" s="359"/>
      <c r="D21" s="19" t="s">
        <v>29</v>
      </c>
      <c r="E21" s="18">
        <f>0.625*0.2*0.249*24*5</f>
        <v>3.7349999999999999</v>
      </c>
      <c r="F21" s="18">
        <f t="shared" si="4"/>
        <v>67.23</v>
      </c>
      <c r="G21" s="356"/>
      <c r="H21" s="12">
        <f t="shared" ref="H21" si="10">F21/G20</f>
        <v>0.66666666666666674</v>
      </c>
    </row>
    <row r="22" spans="2:8" x14ac:dyDescent="0.2">
      <c r="B22" s="351"/>
      <c r="C22" s="359" t="s">
        <v>32</v>
      </c>
      <c r="D22" s="17" t="s">
        <v>4</v>
      </c>
      <c r="E22" s="18">
        <f>0.625*0.1*0.249*24*7</f>
        <v>2.6145</v>
      </c>
      <c r="F22" s="18">
        <f>E22*18</f>
        <v>47.061</v>
      </c>
      <c r="G22" s="357">
        <f t="shared" ref="G22" si="11">SUM(F22:F23)</f>
        <v>100.845</v>
      </c>
      <c r="H22" s="9">
        <f t="shared" ref="H22" si="12">F22/G22</f>
        <v>0.46666666666666667</v>
      </c>
    </row>
    <row r="23" spans="2:8" x14ac:dyDescent="0.2">
      <c r="B23" s="351"/>
      <c r="C23" s="359"/>
      <c r="D23" s="19" t="s">
        <v>37</v>
      </c>
      <c r="E23" s="18">
        <f>0.625*0.2*0.249*24*4</f>
        <v>2.988</v>
      </c>
      <c r="F23" s="18">
        <f>E23*18</f>
        <v>53.783999999999999</v>
      </c>
      <c r="G23" s="356"/>
      <c r="H23" s="12">
        <f t="shared" ref="H23" si="13">F23/G22</f>
        <v>0.53333333333333333</v>
      </c>
    </row>
    <row r="24" spans="2:8" x14ac:dyDescent="0.2">
      <c r="B24" s="351"/>
      <c r="C24" s="359" t="s">
        <v>32</v>
      </c>
      <c r="D24" s="17" t="s">
        <v>5</v>
      </c>
      <c r="E24" s="18">
        <f>0.625*0.1*0.249*24*9</f>
        <v>3.3614999999999999</v>
      </c>
      <c r="F24" s="18">
        <f>E24*18</f>
        <v>60.506999999999998</v>
      </c>
      <c r="G24" s="357">
        <f t="shared" ref="G24" si="14">SUM(F24:F25)</f>
        <v>100.845</v>
      </c>
      <c r="H24" s="9">
        <f t="shared" ref="H24" si="15">F24/G24</f>
        <v>0.6</v>
      </c>
    </row>
    <row r="25" spans="2:8" x14ac:dyDescent="0.2">
      <c r="B25" s="351"/>
      <c r="C25" s="359"/>
      <c r="D25" s="19" t="s">
        <v>38</v>
      </c>
      <c r="E25" s="18">
        <f>0.625*0.2*0.249*24*3</f>
        <v>2.2410000000000001</v>
      </c>
      <c r="F25" s="18">
        <f>E25*18</f>
        <v>40.338000000000001</v>
      </c>
      <c r="G25" s="356"/>
      <c r="H25" s="12">
        <f t="shared" ref="H25" si="16">F25/G24</f>
        <v>0.4</v>
      </c>
    </row>
    <row r="26" spans="2:8" x14ac:dyDescent="0.2">
      <c r="B26" s="351"/>
      <c r="C26" s="360" t="s">
        <v>39</v>
      </c>
      <c r="D26" s="20" t="s">
        <v>9</v>
      </c>
      <c r="E26" s="21">
        <f>0.625*0.1*0.249*24*3</f>
        <v>1.1205000000000001</v>
      </c>
      <c r="F26" s="21">
        <f t="shared" ref="F26:F39" si="17">E26*18</f>
        <v>20.169</v>
      </c>
      <c r="G26" s="357">
        <f>SUM(F26:F27)</f>
        <v>100.845</v>
      </c>
      <c r="H26" s="9">
        <f t="shared" ref="H26" si="18">F26/G26</f>
        <v>0.2</v>
      </c>
    </row>
    <row r="27" spans="2:8" x14ac:dyDescent="0.2">
      <c r="B27" s="351"/>
      <c r="C27" s="360"/>
      <c r="D27" s="22" t="s">
        <v>21</v>
      </c>
      <c r="E27" s="21">
        <f>0.625*0.3*0.249*24*4</f>
        <v>4.4820000000000002</v>
      </c>
      <c r="F27" s="21">
        <f t="shared" si="17"/>
        <v>80.676000000000002</v>
      </c>
      <c r="G27" s="356"/>
      <c r="H27" s="12">
        <f t="shared" ref="H27" si="19">F27/G26</f>
        <v>0.8</v>
      </c>
    </row>
    <row r="28" spans="2:8" x14ac:dyDescent="0.2">
      <c r="B28" s="351"/>
      <c r="C28" s="360" t="s">
        <v>39</v>
      </c>
      <c r="D28" s="20" t="s">
        <v>40</v>
      </c>
      <c r="E28" s="21">
        <f>0.625*0.1*0.249*24*6</f>
        <v>2.2410000000000001</v>
      </c>
      <c r="F28" s="21">
        <f t="shared" si="17"/>
        <v>40.338000000000001</v>
      </c>
      <c r="G28" s="357">
        <f>SUM(F28:F29)</f>
        <v>100.845</v>
      </c>
      <c r="H28" s="9">
        <f t="shared" ref="H28" si="20">F28/G28</f>
        <v>0.4</v>
      </c>
    </row>
    <row r="29" spans="2:8" x14ac:dyDescent="0.2">
      <c r="B29" s="351"/>
      <c r="C29" s="360"/>
      <c r="D29" s="22" t="s">
        <v>23</v>
      </c>
      <c r="E29" s="21">
        <f>0.625*0.3*0.249*24*3</f>
        <v>3.3615000000000004</v>
      </c>
      <c r="F29" s="21">
        <f t="shared" si="17"/>
        <v>60.507000000000005</v>
      </c>
      <c r="G29" s="356"/>
      <c r="H29" s="12">
        <f t="shared" ref="H29" si="21">F29/G28</f>
        <v>0.60000000000000009</v>
      </c>
    </row>
    <row r="30" spans="2:8" x14ac:dyDescent="0.2">
      <c r="B30" s="351"/>
      <c r="C30" s="360" t="s">
        <v>39</v>
      </c>
      <c r="D30" s="20" t="s">
        <v>5</v>
      </c>
      <c r="E30" s="21">
        <f>0.625*0.1*0.249*24*9</f>
        <v>3.3614999999999999</v>
      </c>
      <c r="F30" s="21">
        <f t="shared" si="17"/>
        <v>60.506999999999998</v>
      </c>
      <c r="G30" s="357">
        <f>SUM(F30:F31)</f>
        <v>100.845</v>
      </c>
      <c r="H30" s="9">
        <f t="shared" ref="H30" si="22">F30/G30</f>
        <v>0.6</v>
      </c>
    </row>
    <row r="31" spans="2:8" x14ac:dyDescent="0.2">
      <c r="B31" s="351"/>
      <c r="C31" s="360"/>
      <c r="D31" s="22" t="s">
        <v>41</v>
      </c>
      <c r="E31" s="21">
        <f>0.625*0.3*0.249*24*2</f>
        <v>2.2410000000000001</v>
      </c>
      <c r="F31" s="21">
        <f t="shared" si="17"/>
        <v>40.338000000000001</v>
      </c>
      <c r="G31" s="356"/>
      <c r="H31" s="12">
        <f t="shared" ref="H31" si="23">F31/G30</f>
        <v>0.4</v>
      </c>
    </row>
    <row r="32" spans="2:8" x14ac:dyDescent="0.2">
      <c r="B32" s="351"/>
      <c r="C32" s="361" t="s">
        <v>42</v>
      </c>
      <c r="D32" s="23" t="s">
        <v>9</v>
      </c>
      <c r="E32" s="24">
        <f>0.625*0.1*0.249*24*3</f>
        <v>1.1205000000000001</v>
      </c>
      <c r="F32" s="24">
        <f t="shared" si="17"/>
        <v>20.169</v>
      </c>
      <c r="G32" s="357">
        <f>SUM(F32:F33)</f>
        <v>100.845</v>
      </c>
      <c r="H32" s="9">
        <f t="shared" ref="H32" si="24">F32/G32</f>
        <v>0.2</v>
      </c>
    </row>
    <row r="33" spans="2:8" x14ac:dyDescent="0.2">
      <c r="B33" s="351"/>
      <c r="C33" s="361"/>
      <c r="D33" s="25" t="s">
        <v>25</v>
      </c>
      <c r="E33" s="24">
        <f>0.625*0.4*0.249*24*3</f>
        <v>4.4820000000000002</v>
      </c>
      <c r="F33" s="24">
        <f t="shared" si="17"/>
        <v>80.676000000000002</v>
      </c>
      <c r="G33" s="356"/>
      <c r="H33" s="12">
        <f t="shared" ref="H33" si="25">F33/G32</f>
        <v>0.8</v>
      </c>
    </row>
    <row r="34" spans="2:8" x14ac:dyDescent="0.2">
      <c r="B34" s="351"/>
      <c r="C34" s="361" t="s">
        <v>42</v>
      </c>
      <c r="D34" s="23" t="s">
        <v>4</v>
      </c>
      <c r="E34" s="24">
        <f>0.625*0.1*0.249*24*7</f>
        <v>2.6145</v>
      </c>
      <c r="F34" s="24">
        <f t="shared" si="17"/>
        <v>47.061</v>
      </c>
      <c r="G34" s="357">
        <f>SUM(F34:F35)</f>
        <v>100.845</v>
      </c>
      <c r="H34" s="9">
        <f t="shared" ref="H34" si="26">F34/G34</f>
        <v>0.46666666666666667</v>
      </c>
    </row>
    <row r="35" spans="2:8" ht="15.75" thickBot="1" x14ac:dyDescent="0.25">
      <c r="B35" s="352"/>
      <c r="C35" s="361"/>
      <c r="D35" s="25" t="s">
        <v>43</v>
      </c>
      <c r="E35" s="24">
        <f>0.625*0.4*0.249*24*2</f>
        <v>2.988</v>
      </c>
      <c r="F35" s="24">
        <f t="shared" si="17"/>
        <v>53.783999999999999</v>
      </c>
      <c r="G35" s="356"/>
      <c r="H35" s="12">
        <f t="shared" ref="H35" si="27">F35/G34</f>
        <v>0.53333333333333333</v>
      </c>
    </row>
    <row r="36" spans="2:8" x14ac:dyDescent="0.2">
      <c r="B36" s="350">
        <v>120</v>
      </c>
      <c r="C36" s="362" t="s">
        <v>44</v>
      </c>
      <c r="D36" s="26" t="s">
        <v>45</v>
      </c>
      <c r="E36" s="27">
        <f>0.625*0.12*0.249*24*5</f>
        <v>2.2410000000000001</v>
      </c>
      <c r="F36" s="27">
        <f t="shared" si="17"/>
        <v>40.338000000000001</v>
      </c>
      <c r="G36" s="357">
        <f>SUM(F36:F37)</f>
        <v>100.845</v>
      </c>
      <c r="H36" s="9">
        <f t="shared" ref="H36" si="28">F36/G36</f>
        <v>0.4</v>
      </c>
    </row>
    <row r="37" spans="2:8" x14ac:dyDescent="0.2">
      <c r="B37" s="351"/>
      <c r="C37" s="362"/>
      <c r="D37" s="28" t="s">
        <v>23</v>
      </c>
      <c r="E37" s="27">
        <f>0.625*0.3*0.249*24*3</f>
        <v>3.3615000000000004</v>
      </c>
      <c r="F37" s="27">
        <f t="shared" si="17"/>
        <v>60.507000000000005</v>
      </c>
      <c r="G37" s="356"/>
      <c r="H37" s="12">
        <f t="shared" ref="H37" si="29">F37/G36</f>
        <v>0.60000000000000009</v>
      </c>
    </row>
    <row r="38" spans="2:8" x14ac:dyDescent="0.2">
      <c r="B38" s="351"/>
      <c r="C38" s="362" t="s">
        <v>44</v>
      </c>
      <c r="D38" s="26" t="s">
        <v>1</v>
      </c>
      <c r="E38" s="27">
        <f>0.625*0.12*0.249*24*10</f>
        <v>4.4820000000000002</v>
      </c>
      <c r="F38" s="27">
        <f t="shared" si="17"/>
        <v>80.676000000000002</v>
      </c>
      <c r="G38" s="357">
        <f>SUM(F38:F39)</f>
        <v>100.845</v>
      </c>
      <c r="H38" s="9">
        <f t="shared" ref="H38" si="30">F38/G38</f>
        <v>0.8</v>
      </c>
    </row>
    <row r="39" spans="2:8" x14ac:dyDescent="0.2">
      <c r="B39" s="351"/>
      <c r="C39" s="362"/>
      <c r="D39" s="28" t="s">
        <v>46</v>
      </c>
      <c r="E39" s="27">
        <f>0.625*0.3*0.249*24*1</f>
        <v>1.1205000000000001</v>
      </c>
      <c r="F39" s="27">
        <f t="shared" si="17"/>
        <v>20.169</v>
      </c>
      <c r="G39" s="356"/>
      <c r="H39" s="12">
        <f t="shared" ref="H39" si="31">F39/G38</f>
        <v>0.2</v>
      </c>
    </row>
    <row r="40" spans="2:8" x14ac:dyDescent="0.2">
      <c r="B40" s="351"/>
      <c r="C40" s="362" t="s">
        <v>47</v>
      </c>
      <c r="D40" s="26" t="s">
        <v>48</v>
      </c>
      <c r="E40" s="27">
        <f>0.625*0.12*0.249*24*3</f>
        <v>1.3446000000000002</v>
      </c>
      <c r="F40" s="27">
        <f>E40*18</f>
        <v>24.202800000000003</v>
      </c>
      <c r="G40" s="357">
        <f>SUM(F40:F41)</f>
        <v>99.836550000000017</v>
      </c>
      <c r="H40" s="9">
        <f t="shared" ref="H40" si="32">F40/G40</f>
        <v>0.24242424242424243</v>
      </c>
    </row>
    <row r="41" spans="2:8" ht="15.75" thickBot="1" x14ac:dyDescent="0.25">
      <c r="B41" s="352"/>
      <c r="C41" s="362"/>
      <c r="D41" s="28" t="s">
        <v>49</v>
      </c>
      <c r="E41" s="27">
        <f>0.625*0.375*0.249*24*3</f>
        <v>4.2018750000000002</v>
      </c>
      <c r="F41" s="27">
        <f>E41*18</f>
        <v>75.633750000000006</v>
      </c>
      <c r="G41" s="356"/>
      <c r="H41" s="12">
        <f t="shared" ref="H41" si="33">F41/G40</f>
        <v>0.75757575757575746</v>
      </c>
    </row>
    <row r="42" spans="2:8" x14ac:dyDescent="0.2">
      <c r="B42" s="350">
        <v>150</v>
      </c>
      <c r="C42" s="363" t="s">
        <v>50</v>
      </c>
      <c r="D42" s="29" t="s">
        <v>8</v>
      </c>
      <c r="E42" s="30">
        <f>0.625*0.15*0.249*24*6</f>
        <v>3.3615000000000004</v>
      </c>
      <c r="F42" s="30">
        <f t="shared" ref="F42:F92" si="34">E42*18</f>
        <v>60.507000000000005</v>
      </c>
      <c r="G42" s="357">
        <f>SUM(F42:F43)</f>
        <v>100.845</v>
      </c>
      <c r="H42" s="9">
        <f t="shared" ref="H42" si="35">F42/G42</f>
        <v>0.60000000000000009</v>
      </c>
    </row>
    <row r="43" spans="2:8" x14ac:dyDescent="0.2">
      <c r="B43" s="351"/>
      <c r="C43" s="363"/>
      <c r="D43" s="31" t="s">
        <v>38</v>
      </c>
      <c r="E43" s="30">
        <f>0.625*0.2*0.249*24*3</f>
        <v>2.2410000000000001</v>
      </c>
      <c r="F43" s="30">
        <f t="shared" si="34"/>
        <v>40.338000000000001</v>
      </c>
      <c r="G43" s="356"/>
      <c r="H43" s="12">
        <f t="shared" ref="H43" si="36">F43/G42</f>
        <v>0.4</v>
      </c>
    </row>
    <row r="44" spans="2:8" x14ac:dyDescent="0.2">
      <c r="B44" s="351"/>
      <c r="C44" s="363" t="s">
        <v>51</v>
      </c>
      <c r="D44" s="29" t="s">
        <v>52</v>
      </c>
      <c r="E44" s="30">
        <f>0.625*0.15*0.249*24*2</f>
        <v>1.1205000000000001</v>
      </c>
      <c r="F44" s="30">
        <f t="shared" si="34"/>
        <v>20.169</v>
      </c>
      <c r="G44" s="357">
        <f>SUM(F44:F45)</f>
        <v>100.845</v>
      </c>
      <c r="H44" s="9">
        <f t="shared" ref="H44" si="37">F44/G44</f>
        <v>0.2</v>
      </c>
    </row>
    <row r="45" spans="2:8" x14ac:dyDescent="0.2">
      <c r="B45" s="351"/>
      <c r="C45" s="363"/>
      <c r="D45" s="31" t="s">
        <v>21</v>
      </c>
      <c r="E45" s="30">
        <f>0.625*0.3*0.249*24*4</f>
        <v>4.4820000000000002</v>
      </c>
      <c r="F45" s="30">
        <f t="shared" si="34"/>
        <v>80.676000000000002</v>
      </c>
      <c r="G45" s="356"/>
      <c r="H45" s="12">
        <f t="shared" ref="H45" si="38">F45/G44</f>
        <v>0.8</v>
      </c>
    </row>
    <row r="46" spans="2:8" x14ac:dyDescent="0.2">
      <c r="B46" s="351"/>
      <c r="C46" s="363" t="s">
        <v>51</v>
      </c>
      <c r="D46" s="29" t="s">
        <v>53</v>
      </c>
      <c r="E46" s="30">
        <f>0.625*0.15*0.249*24*4</f>
        <v>2.2410000000000001</v>
      </c>
      <c r="F46" s="30">
        <f t="shared" si="34"/>
        <v>40.338000000000001</v>
      </c>
      <c r="G46" s="357">
        <f>SUM(F46:F47)</f>
        <v>100.845</v>
      </c>
      <c r="H46" s="9">
        <f t="shared" ref="H46" si="39">F46/G46</f>
        <v>0.4</v>
      </c>
    </row>
    <row r="47" spans="2:8" x14ac:dyDescent="0.2">
      <c r="B47" s="351"/>
      <c r="C47" s="363"/>
      <c r="D47" s="31" t="s">
        <v>23</v>
      </c>
      <c r="E47" s="30">
        <f>0.625*0.3*0.249*24*3</f>
        <v>3.3615000000000004</v>
      </c>
      <c r="F47" s="30">
        <f t="shared" si="34"/>
        <v>60.507000000000005</v>
      </c>
      <c r="G47" s="356"/>
      <c r="H47" s="12">
        <f t="shared" ref="H47" si="40">F47/G46</f>
        <v>0.60000000000000009</v>
      </c>
    </row>
    <row r="48" spans="2:8" x14ac:dyDescent="0.2">
      <c r="B48" s="351"/>
      <c r="C48" s="363" t="s">
        <v>51</v>
      </c>
      <c r="D48" s="29" t="s">
        <v>8</v>
      </c>
      <c r="E48" s="30">
        <f>0.625*0.15*0.249*24*6</f>
        <v>3.3615000000000004</v>
      </c>
      <c r="F48" s="30">
        <f t="shared" si="34"/>
        <v>60.507000000000005</v>
      </c>
      <c r="G48" s="357">
        <f>SUM(F48:F49)</f>
        <v>100.845</v>
      </c>
      <c r="H48" s="9">
        <f t="shared" ref="H48" si="41">F48/G48</f>
        <v>0.60000000000000009</v>
      </c>
    </row>
    <row r="49" spans="2:8" x14ac:dyDescent="0.2">
      <c r="B49" s="351"/>
      <c r="C49" s="363"/>
      <c r="D49" s="31" t="s">
        <v>41</v>
      </c>
      <c r="E49" s="30">
        <f>0.625*0.3*0.249*24*2</f>
        <v>2.2410000000000001</v>
      </c>
      <c r="F49" s="30">
        <f t="shared" si="34"/>
        <v>40.338000000000001</v>
      </c>
      <c r="G49" s="356"/>
      <c r="H49" s="12">
        <f t="shared" ref="H49" si="42">F49/G48</f>
        <v>0.4</v>
      </c>
    </row>
    <row r="50" spans="2:8" x14ac:dyDescent="0.2">
      <c r="B50" s="351"/>
      <c r="C50" s="363" t="s">
        <v>51</v>
      </c>
      <c r="D50" s="29" t="s">
        <v>54</v>
      </c>
      <c r="E50" s="30">
        <f>0.625*0.15*0.249*24*8</f>
        <v>4.4820000000000002</v>
      </c>
      <c r="F50" s="30">
        <f t="shared" si="34"/>
        <v>80.676000000000002</v>
      </c>
      <c r="G50" s="357">
        <f>SUM(F50:F51)</f>
        <v>100.845</v>
      </c>
      <c r="H50" s="9">
        <f t="shared" ref="H50" si="43">F50/G50</f>
        <v>0.8</v>
      </c>
    </row>
    <row r="51" spans="2:8" x14ac:dyDescent="0.2">
      <c r="B51" s="351"/>
      <c r="C51" s="363"/>
      <c r="D51" s="31" t="s">
        <v>46</v>
      </c>
      <c r="E51" s="30">
        <f>0.625*0.3*0.249*24*1</f>
        <v>1.1205000000000001</v>
      </c>
      <c r="F51" s="30">
        <f t="shared" si="34"/>
        <v>20.169</v>
      </c>
      <c r="G51" s="356"/>
      <c r="H51" s="12">
        <f t="shared" ref="H51" si="44">F51/G50</f>
        <v>0.2</v>
      </c>
    </row>
    <row r="52" spans="2:8" x14ac:dyDescent="0.2">
      <c r="B52" s="351"/>
      <c r="C52" s="363" t="s">
        <v>55</v>
      </c>
      <c r="D52" s="29" t="s">
        <v>56</v>
      </c>
      <c r="E52" s="30">
        <f>0.625*0.15*0.249*24*5</f>
        <v>2.80125</v>
      </c>
      <c r="F52" s="30">
        <f t="shared" si="34"/>
        <v>50.422499999999999</v>
      </c>
      <c r="G52" s="357">
        <f t="shared" ref="G52" si="45">SUM(F52:F53)</f>
        <v>100.845</v>
      </c>
      <c r="H52" s="9">
        <f t="shared" ref="H52" si="46">F52/G52</f>
        <v>0.5</v>
      </c>
    </row>
    <row r="53" spans="2:8" ht="15.75" thickBot="1" x14ac:dyDescent="0.25">
      <c r="B53" s="352"/>
      <c r="C53" s="363"/>
      <c r="D53" s="31" t="s">
        <v>57</v>
      </c>
      <c r="E53" s="30">
        <f>0.625*0.375*0.249*24*2</f>
        <v>2.80125</v>
      </c>
      <c r="F53" s="30">
        <f t="shared" si="34"/>
        <v>50.422499999999999</v>
      </c>
      <c r="G53" s="356"/>
      <c r="H53" s="12">
        <f t="shared" ref="H53" si="47">F53/G52</f>
        <v>0.5</v>
      </c>
    </row>
    <row r="54" spans="2:8" x14ac:dyDescent="0.2">
      <c r="B54" s="364"/>
      <c r="C54" s="356" t="s">
        <v>58</v>
      </c>
      <c r="D54" s="32" t="s">
        <v>2</v>
      </c>
      <c r="E54" s="33">
        <f>0.625*0.3*0.2*30*1</f>
        <v>1.1250000000000002</v>
      </c>
      <c r="F54" s="33">
        <f t="shared" si="34"/>
        <v>20.250000000000004</v>
      </c>
      <c r="G54" s="357">
        <f t="shared" ref="G54" si="48">SUM(F54:F55)</f>
        <v>101.25</v>
      </c>
      <c r="H54" s="9">
        <f t="shared" ref="H54" si="49">F54/G54</f>
        <v>0.20000000000000004</v>
      </c>
    </row>
    <row r="55" spans="2:8" ht="15.75" thickBot="1" x14ac:dyDescent="0.25">
      <c r="B55" s="365"/>
      <c r="C55" s="356"/>
      <c r="D55" s="34" t="s">
        <v>3</v>
      </c>
      <c r="E55" s="33">
        <f>0.625*0.4*0.2*30*3</f>
        <v>4.5</v>
      </c>
      <c r="F55" s="33">
        <f t="shared" si="34"/>
        <v>81</v>
      </c>
      <c r="G55" s="356"/>
      <c r="H55" s="12">
        <f t="shared" ref="H55" si="50">F55/G54</f>
        <v>0.8</v>
      </c>
    </row>
    <row r="56" spans="2:8" x14ac:dyDescent="0.2">
      <c r="B56" s="350" t="s">
        <v>59</v>
      </c>
      <c r="C56" s="359" t="s">
        <v>60</v>
      </c>
      <c r="D56" s="17" t="s">
        <v>6</v>
      </c>
      <c r="E56" s="18">
        <f>0.625*0.1*0.2*30*1</f>
        <v>0.375</v>
      </c>
      <c r="F56" s="18">
        <f t="shared" si="34"/>
        <v>6.75</v>
      </c>
      <c r="G56" s="357">
        <f t="shared" ref="G56" si="51">SUM(F56:F57)</f>
        <v>101.25</v>
      </c>
      <c r="H56" s="35">
        <f t="shared" ref="H56" si="52">F56/G56</f>
        <v>6.6666666666666666E-2</v>
      </c>
    </row>
    <row r="57" spans="2:8" x14ac:dyDescent="0.2">
      <c r="B57" s="351"/>
      <c r="C57" s="359"/>
      <c r="D57" s="19" t="s">
        <v>61</v>
      </c>
      <c r="E57" s="18">
        <f>0.625*0.28*0.2*30*5</f>
        <v>5.25</v>
      </c>
      <c r="F57" s="18">
        <f t="shared" si="34"/>
        <v>94.5</v>
      </c>
      <c r="G57" s="356"/>
      <c r="H57" s="12">
        <f t="shared" ref="H57" si="53">F57/G56</f>
        <v>0.93333333333333335</v>
      </c>
    </row>
    <row r="58" spans="2:8" x14ac:dyDescent="0.2">
      <c r="B58" s="351"/>
      <c r="C58" s="360" t="s">
        <v>62</v>
      </c>
      <c r="D58" s="20" t="s">
        <v>63</v>
      </c>
      <c r="E58" s="21">
        <f>0.625*0.1*0.2*30*3</f>
        <v>1.125</v>
      </c>
      <c r="F58" s="21">
        <f t="shared" si="34"/>
        <v>20.25</v>
      </c>
      <c r="G58" s="357">
        <f>SUM(F58:F59)</f>
        <v>101.25000000000001</v>
      </c>
      <c r="H58" s="9">
        <f t="shared" ref="H58" si="54">F58/G58</f>
        <v>0.19999999999999998</v>
      </c>
    </row>
    <row r="59" spans="2:8" x14ac:dyDescent="0.2">
      <c r="B59" s="351"/>
      <c r="C59" s="360"/>
      <c r="D59" s="22" t="s">
        <v>64</v>
      </c>
      <c r="E59" s="21">
        <f>0.625*0.3*0.2*30*4</f>
        <v>4.5000000000000009</v>
      </c>
      <c r="F59" s="21">
        <f t="shared" si="34"/>
        <v>81.000000000000014</v>
      </c>
      <c r="G59" s="356"/>
      <c r="H59" s="12">
        <f t="shared" ref="H59" si="55">F59/G58</f>
        <v>0.8</v>
      </c>
    </row>
    <row r="60" spans="2:8" x14ac:dyDescent="0.2">
      <c r="B60" s="351"/>
      <c r="C60" s="360" t="s">
        <v>62</v>
      </c>
      <c r="D60" s="20" t="s">
        <v>65</v>
      </c>
      <c r="E60" s="21">
        <f>0.625*0.1*0.2*30*6</f>
        <v>2.25</v>
      </c>
      <c r="F60" s="21">
        <f t="shared" si="34"/>
        <v>40.5</v>
      </c>
      <c r="G60" s="357">
        <f>SUM(F60:F61)</f>
        <v>101.25000000000001</v>
      </c>
      <c r="H60" s="9">
        <f t="shared" ref="H60" si="56">F60/G60</f>
        <v>0.39999999999999997</v>
      </c>
    </row>
    <row r="61" spans="2:8" x14ac:dyDescent="0.2">
      <c r="B61" s="351"/>
      <c r="C61" s="360"/>
      <c r="D61" s="22" t="s">
        <v>66</v>
      </c>
      <c r="E61" s="21">
        <f>0.625*0.3*0.2*30*3</f>
        <v>3.3750000000000009</v>
      </c>
      <c r="F61" s="21">
        <f t="shared" si="34"/>
        <v>60.750000000000014</v>
      </c>
      <c r="G61" s="356"/>
      <c r="H61" s="12">
        <f t="shared" ref="H61" si="57">F61/G60</f>
        <v>0.60000000000000009</v>
      </c>
    </row>
    <row r="62" spans="2:8" x14ac:dyDescent="0.2">
      <c r="B62" s="351"/>
      <c r="C62" s="360" t="s">
        <v>62</v>
      </c>
      <c r="D62" s="20" t="s">
        <v>67</v>
      </c>
      <c r="E62" s="21">
        <f>0.625*0.1*0.2*30*9</f>
        <v>3.375</v>
      </c>
      <c r="F62" s="21">
        <f t="shared" si="34"/>
        <v>60.75</v>
      </c>
      <c r="G62" s="357">
        <f>SUM(F62:F63)</f>
        <v>101.25</v>
      </c>
      <c r="H62" s="9">
        <f t="shared" ref="H62" si="58">F62/G62</f>
        <v>0.6</v>
      </c>
    </row>
    <row r="63" spans="2:8" x14ac:dyDescent="0.2">
      <c r="B63" s="351"/>
      <c r="C63" s="360"/>
      <c r="D63" s="22" t="s">
        <v>68</v>
      </c>
      <c r="E63" s="21">
        <f>0.625*0.3*0.2*30*2</f>
        <v>2.2500000000000004</v>
      </c>
      <c r="F63" s="21">
        <f t="shared" si="34"/>
        <v>40.500000000000007</v>
      </c>
      <c r="G63" s="356"/>
      <c r="H63" s="12">
        <f t="shared" ref="H63" si="59">F63/G62</f>
        <v>0.40000000000000008</v>
      </c>
    </row>
    <row r="64" spans="2:8" x14ac:dyDescent="0.2">
      <c r="B64" s="351"/>
      <c r="C64" s="361" t="s">
        <v>69</v>
      </c>
      <c r="D64" s="23" t="s">
        <v>63</v>
      </c>
      <c r="E64" s="24">
        <f>0.625*0.1*0.2*30*3</f>
        <v>1.125</v>
      </c>
      <c r="F64" s="24">
        <f t="shared" si="34"/>
        <v>20.25</v>
      </c>
      <c r="G64" s="357">
        <f>SUM(F64:F65)</f>
        <v>101.25</v>
      </c>
      <c r="H64" s="9">
        <f t="shared" ref="H64" si="60">F64/G64</f>
        <v>0.2</v>
      </c>
    </row>
    <row r="65" spans="2:8" x14ac:dyDescent="0.2">
      <c r="B65" s="351"/>
      <c r="C65" s="361"/>
      <c r="D65" s="25" t="s">
        <v>70</v>
      </c>
      <c r="E65" s="24">
        <f>0.625*0.4*0.2*30*3</f>
        <v>4.5</v>
      </c>
      <c r="F65" s="24">
        <f t="shared" si="34"/>
        <v>81</v>
      </c>
      <c r="G65" s="356"/>
      <c r="H65" s="12">
        <f t="shared" ref="H65" si="61">F65/G64</f>
        <v>0.8</v>
      </c>
    </row>
    <row r="66" spans="2:8" x14ac:dyDescent="0.2">
      <c r="B66" s="351"/>
      <c r="C66" s="361" t="s">
        <v>69</v>
      </c>
      <c r="D66" s="23" t="s">
        <v>71</v>
      </c>
      <c r="E66" s="24">
        <f>0.625*0.1*0.2*30*7</f>
        <v>2.625</v>
      </c>
      <c r="F66" s="24">
        <f t="shared" si="34"/>
        <v>47.25</v>
      </c>
      <c r="G66" s="357">
        <f>SUM(F66:F67)</f>
        <v>101.25</v>
      </c>
      <c r="H66" s="9">
        <f t="shared" ref="H66" si="62">F66/G66</f>
        <v>0.46666666666666667</v>
      </c>
    </row>
    <row r="67" spans="2:8" ht="15.75" thickBot="1" x14ac:dyDescent="0.25">
      <c r="B67" s="352"/>
      <c r="C67" s="361"/>
      <c r="D67" s="25" t="s">
        <v>72</v>
      </c>
      <c r="E67" s="24">
        <f>0.625*0.4*0.2*30*2</f>
        <v>3</v>
      </c>
      <c r="F67" s="24">
        <f t="shared" si="34"/>
        <v>54</v>
      </c>
      <c r="G67" s="356"/>
      <c r="H67" s="12">
        <f t="shared" ref="H67" si="63">F67/G66</f>
        <v>0.53333333333333333</v>
      </c>
    </row>
    <row r="68" spans="2:8" x14ac:dyDescent="0.2">
      <c r="C68" s="361" t="s">
        <v>60</v>
      </c>
      <c r="D68" s="23" t="s">
        <v>6</v>
      </c>
      <c r="E68" s="24">
        <f>0.625*0.1*0.2*30*1</f>
        <v>0.375</v>
      </c>
      <c r="F68" s="24">
        <f t="shared" si="34"/>
        <v>6.75</v>
      </c>
      <c r="G68" s="357">
        <f>SUM(F68:F69)</f>
        <v>101.25</v>
      </c>
      <c r="H68" s="9">
        <f t="shared" ref="H68" si="64">F68/G68</f>
        <v>6.6666666666666666E-2</v>
      </c>
    </row>
    <row r="69" spans="2:8" x14ac:dyDescent="0.2">
      <c r="C69" s="361"/>
      <c r="D69" s="25" t="s">
        <v>61</v>
      </c>
      <c r="E69" s="24">
        <f>0.625*0.28*0.2*30*5</f>
        <v>5.25</v>
      </c>
      <c r="F69" s="24">
        <f t="shared" si="34"/>
        <v>94.5</v>
      </c>
      <c r="G69" s="356"/>
      <c r="H69" s="12">
        <f t="shared" ref="H69" si="65">F69/G68</f>
        <v>0.93333333333333335</v>
      </c>
    </row>
    <row r="70" spans="2:8" x14ac:dyDescent="0.2">
      <c r="C70" s="366" t="s">
        <v>73</v>
      </c>
      <c r="D70" s="228" t="s">
        <v>74</v>
      </c>
      <c r="E70" s="229">
        <f>0.625*0.2*0.2*30*6</f>
        <v>4.5</v>
      </c>
      <c r="F70" s="229">
        <f t="shared" si="34"/>
        <v>81</v>
      </c>
      <c r="G70" s="357">
        <f>SUM(F70:F71)</f>
        <v>101.25</v>
      </c>
      <c r="H70" s="9">
        <f t="shared" ref="H70" si="66">F70/G70</f>
        <v>0.8</v>
      </c>
    </row>
    <row r="71" spans="2:8" x14ac:dyDescent="0.2">
      <c r="C71" s="366"/>
      <c r="D71" s="230" t="s">
        <v>2</v>
      </c>
      <c r="E71" s="229">
        <f>0.625*0.3*0.2*30*1</f>
        <v>1.1250000000000002</v>
      </c>
      <c r="F71" s="229">
        <f t="shared" si="34"/>
        <v>20.250000000000004</v>
      </c>
      <c r="G71" s="356"/>
      <c r="H71" s="12">
        <f t="shared" ref="H71" si="67">F71/G70</f>
        <v>0.20000000000000004</v>
      </c>
    </row>
    <row r="72" spans="2:8" x14ac:dyDescent="0.2">
      <c r="C72" s="366" t="s">
        <v>75</v>
      </c>
      <c r="D72" s="228" t="s">
        <v>6</v>
      </c>
      <c r="E72" s="229">
        <f>0.625*0.1*0.2*30*1</f>
        <v>0.375</v>
      </c>
      <c r="F72" s="229">
        <f t="shared" si="34"/>
        <v>6.75</v>
      </c>
      <c r="G72" s="357">
        <f>SUM(F72:F73)</f>
        <v>101.25</v>
      </c>
      <c r="H72" s="9">
        <f t="shared" ref="H72:H86" si="68">F72/G72</f>
        <v>6.6666666666666666E-2</v>
      </c>
    </row>
    <row r="73" spans="2:8" x14ac:dyDescent="0.2">
      <c r="C73" s="366"/>
      <c r="D73" s="230" t="s">
        <v>76</v>
      </c>
      <c r="E73" s="229">
        <f>0.625*0.2*0.2*30*7</f>
        <v>5.25</v>
      </c>
      <c r="F73" s="229">
        <f t="shared" si="34"/>
        <v>94.5</v>
      </c>
      <c r="G73" s="356"/>
      <c r="H73" s="12">
        <f t="shared" ref="H73:H87" si="69">F73/G72</f>
        <v>0.93333333333333335</v>
      </c>
    </row>
    <row r="74" spans="2:8" hidden="1" x14ac:dyDescent="0.2">
      <c r="B74" s="371"/>
      <c r="C74" s="373"/>
      <c r="D74" s="187"/>
      <c r="E74" s="215"/>
      <c r="F74" s="188"/>
      <c r="G74" s="357"/>
      <c r="H74" s="9"/>
    </row>
    <row r="75" spans="2:8" hidden="1" x14ac:dyDescent="0.2">
      <c r="B75" s="372"/>
      <c r="C75" s="373"/>
      <c r="D75" s="189"/>
      <c r="E75" s="215"/>
      <c r="F75" s="188"/>
      <c r="G75" s="356"/>
      <c r="H75" s="12"/>
    </row>
    <row r="76" spans="2:8" x14ac:dyDescent="0.2">
      <c r="B76" s="367">
        <v>120</v>
      </c>
      <c r="C76" s="370" t="s">
        <v>278</v>
      </c>
      <c r="D76" s="217" t="s">
        <v>280</v>
      </c>
      <c r="E76" s="219">
        <f>0.599*0.12*0.24*25*2</f>
        <v>0.86255999999999988</v>
      </c>
      <c r="F76" s="219">
        <f t="shared" si="34"/>
        <v>15.526079999999999</v>
      </c>
      <c r="G76" s="357">
        <f>SUM(F76:F77)</f>
        <v>93.156479999999974</v>
      </c>
      <c r="H76" s="9">
        <f t="shared" si="68"/>
        <v>0.16666666666666669</v>
      </c>
    </row>
    <row r="77" spans="2:8" x14ac:dyDescent="0.2">
      <c r="B77" s="368"/>
      <c r="C77" s="370"/>
      <c r="D77" s="220" t="s">
        <v>285</v>
      </c>
      <c r="E77" s="219">
        <f>0.599*0.24*0.24*5*25</f>
        <v>4.3127999999999993</v>
      </c>
      <c r="F77" s="219">
        <f t="shared" si="34"/>
        <v>77.63039999999998</v>
      </c>
      <c r="G77" s="356"/>
      <c r="H77" s="12">
        <f t="shared" si="69"/>
        <v>0.83333333333333337</v>
      </c>
    </row>
    <row r="78" spans="2:8" x14ac:dyDescent="0.2">
      <c r="B78" s="368"/>
      <c r="C78" s="370" t="s">
        <v>278</v>
      </c>
      <c r="D78" s="217" t="s">
        <v>281</v>
      </c>
      <c r="E78" s="219">
        <f>0.599*0.12*0.24*25*4</f>
        <v>1.7251199999999998</v>
      </c>
      <c r="F78" s="219">
        <f t="shared" si="34"/>
        <v>31.052159999999997</v>
      </c>
      <c r="G78" s="357">
        <f>SUM(F78:F79)</f>
        <v>93.156479999999988</v>
      </c>
      <c r="H78" s="9">
        <f t="shared" si="68"/>
        <v>0.33333333333333337</v>
      </c>
    </row>
    <row r="79" spans="2:8" x14ac:dyDescent="0.2">
      <c r="B79" s="368"/>
      <c r="C79" s="370"/>
      <c r="D79" s="220" t="s">
        <v>279</v>
      </c>
      <c r="E79" s="219">
        <f>0.599*0.24*0.24*4*25</f>
        <v>3.4502399999999995</v>
      </c>
      <c r="F79" s="219">
        <f t="shared" si="34"/>
        <v>62.104319999999994</v>
      </c>
      <c r="G79" s="356"/>
      <c r="H79" s="12">
        <f t="shared" si="69"/>
        <v>0.66666666666666674</v>
      </c>
    </row>
    <row r="80" spans="2:8" x14ac:dyDescent="0.2">
      <c r="B80" s="368"/>
      <c r="C80" s="370" t="s">
        <v>278</v>
      </c>
      <c r="D80" s="217" t="s">
        <v>282</v>
      </c>
      <c r="E80" s="219">
        <f>0.599*0.12*0.24*25*6</f>
        <v>2.5876799999999998</v>
      </c>
      <c r="F80" s="219">
        <f t="shared" si="34"/>
        <v>46.578239999999994</v>
      </c>
      <c r="G80" s="357">
        <f>SUM(F80:F81)</f>
        <v>93.156479999999988</v>
      </c>
      <c r="H80" s="9">
        <f t="shared" si="68"/>
        <v>0.5</v>
      </c>
    </row>
    <row r="81" spans="2:8" x14ac:dyDescent="0.2">
      <c r="B81" s="368"/>
      <c r="C81" s="370"/>
      <c r="D81" s="220" t="s">
        <v>284</v>
      </c>
      <c r="E81" s="219">
        <f>0.599*0.24*0.24*3*25</f>
        <v>2.5876799999999998</v>
      </c>
      <c r="F81" s="219">
        <f t="shared" si="34"/>
        <v>46.578239999999994</v>
      </c>
      <c r="G81" s="356"/>
      <c r="H81" s="12">
        <f t="shared" si="69"/>
        <v>0.5</v>
      </c>
    </row>
    <row r="82" spans="2:8" x14ac:dyDescent="0.2">
      <c r="B82" s="368"/>
      <c r="C82" s="370"/>
      <c r="D82" s="217"/>
      <c r="E82" s="219">
        <f>0.599*0.12*0.24*25*8</f>
        <v>3.4502399999999995</v>
      </c>
      <c r="F82" s="219">
        <f t="shared" si="34"/>
        <v>62.104319999999994</v>
      </c>
      <c r="G82" s="357">
        <f>SUM(F82:F83)</f>
        <v>93.156479999999988</v>
      </c>
      <c r="H82" s="9">
        <f t="shared" si="68"/>
        <v>0.66666666666666674</v>
      </c>
    </row>
    <row r="83" spans="2:8" x14ac:dyDescent="0.2">
      <c r="B83" s="368"/>
      <c r="C83" s="370"/>
      <c r="D83" s="220"/>
      <c r="E83" s="219">
        <f>0.599*0.24*0.24*2*25</f>
        <v>1.7251199999999998</v>
      </c>
      <c r="F83" s="219">
        <f t="shared" si="34"/>
        <v>31.052159999999997</v>
      </c>
      <c r="G83" s="356"/>
      <c r="H83" s="12">
        <f t="shared" si="69"/>
        <v>0.33333333333333337</v>
      </c>
    </row>
    <row r="84" spans="2:8" x14ac:dyDescent="0.2">
      <c r="B84" s="368"/>
      <c r="C84" s="370" t="s">
        <v>295</v>
      </c>
      <c r="D84" s="217" t="s">
        <v>260</v>
      </c>
      <c r="E84" s="219">
        <f>0.599*0.18*0.24*25*3</f>
        <v>1.9407599999999996</v>
      </c>
      <c r="F84" s="219">
        <f t="shared" ref="F84:F85" si="70">E84*18</f>
        <v>34.933679999999995</v>
      </c>
      <c r="G84" s="357">
        <f>SUM(F84:F85)</f>
        <v>97.037999999999982</v>
      </c>
      <c r="H84" s="9">
        <f t="shared" ref="H84" si="71">F84/G84</f>
        <v>0.36000000000000004</v>
      </c>
    </row>
    <row r="85" spans="2:8" x14ac:dyDescent="0.2">
      <c r="B85" s="369"/>
      <c r="C85" s="370"/>
      <c r="D85" s="220" t="s">
        <v>283</v>
      </c>
      <c r="E85" s="219">
        <f>0.599*0.12*0.24*25*8</f>
        <v>3.4502399999999995</v>
      </c>
      <c r="F85" s="219">
        <f t="shared" si="70"/>
        <v>62.104319999999994</v>
      </c>
      <c r="G85" s="356"/>
      <c r="H85" s="12">
        <f t="shared" ref="H85" si="72">F85/G84</f>
        <v>0.64</v>
      </c>
    </row>
    <row r="86" spans="2:8" x14ac:dyDescent="0.2">
      <c r="B86" s="379">
        <v>180</v>
      </c>
      <c r="C86" s="381" t="s">
        <v>262</v>
      </c>
      <c r="D86" s="221" t="s">
        <v>260</v>
      </c>
      <c r="E86" s="222">
        <f>0.599*0.18*0.24*25*3</f>
        <v>1.9407599999999996</v>
      </c>
      <c r="F86" s="222">
        <f t="shared" si="34"/>
        <v>34.933679999999995</v>
      </c>
      <c r="G86" s="357">
        <f t="shared" ref="G86" si="73">SUM(F86:F87)</f>
        <v>97.037999999999982</v>
      </c>
      <c r="H86" s="9">
        <f t="shared" si="68"/>
        <v>0.36000000000000004</v>
      </c>
    </row>
    <row r="87" spans="2:8" x14ac:dyDescent="0.2">
      <c r="B87" s="380"/>
      <c r="C87" s="381"/>
      <c r="D87" s="223" t="s">
        <v>261</v>
      </c>
      <c r="E87" s="222">
        <f>0.599*0.24*0.24*25*4</f>
        <v>3.4502399999999995</v>
      </c>
      <c r="F87" s="222">
        <f t="shared" si="34"/>
        <v>62.104319999999994</v>
      </c>
      <c r="G87" s="356"/>
      <c r="H87" s="12">
        <f t="shared" si="69"/>
        <v>0.64</v>
      </c>
    </row>
    <row r="88" spans="2:8" x14ac:dyDescent="0.2">
      <c r="B88" s="379">
        <v>240</v>
      </c>
      <c r="C88" s="382" t="s">
        <v>290</v>
      </c>
      <c r="D88" s="224" t="s">
        <v>291</v>
      </c>
      <c r="E88" s="225">
        <f>0.599*0.3*0.24*25</f>
        <v>1.0782</v>
      </c>
      <c r="F88" s="225">
        <f t="shared" si="34"/>
        <v>19.407600000000002</v>
      </c>
      <c r="G88" s="357">
        <f t="shared" ref="G88" si="74">SUM(F88:F89)</f>
        <v>97.037999999999982</v>
      </c>
      <c r="H88" s="9">
        <f t="shared" ref="H88" si="75">F88/G88</f>
        <v>0.20000000000000007</v>
      </c>
    </row>
    <row r="89" spans="2:8" x14ac:dyDescent="0.2">
      <c r="B89" s="380"/>
      <c r="C89" s="382"/>
      <c r="D89" s="226" t="s">
        <v>292</v>
      </c>
      <c r="E89" s="225">
        <f>0.599*0.24*0.24*25*5</f>
        <v>4.3127999999999993</v>
      </c>
      <c r="F89" s="225">
        <f t="shared" si="34"/>
        <v>77.63039999999998</v>
      </c>
      <c r="G89" s="356"/>
      <c r="H89" s="12">
        <f t="shared" ref="H89:H91" si="76">F89/G88</f>
        <v>0.79999999999999993</v>
      </c>
    </row>
    <row r="90" spans="2:8" x14ac:dyDescent="0.2">
      <c r="C90" s="374" t="s">
        <v>294</v>
      </c>
      <c r="D90" s="227" t="s">
        <v>293</v>
      </c>
      <c r="E90" s="218">
        <f>0.599*0.18*0.24*1*25</f>
        <v>0.64691999999999983</v>
      </c>
      <c r="F90" s="225">
        <f t="shared" si="34"/>
        <v>11.644559999999997</v>
      </c>
      <c r="G90" s="377">
        <f>SUM(F90:F92)</f>
        <v>97.038000000000011</v>
      </c>
      <c r="H90" s="12">
        <f>F90/G90</f>
        <v>0.11999999999999995</v>
      </c>
    </row>
    <row r="91" spans="2:8" x14ac:dyDescent="0.2">
      <c r="C91" s="375"/>
      <c r="D91" s="227" t="s">
        <v>296</v>
      </c>
      <c r="E91" s="218">
        <f>0.599*0.12*0.24*1*25</f>
        <v>0.43127999999999994</v>
      </c>
      <c r="F91" s="225">
        <f t="shared" si="34"/>
        <v>7.7630399999999993</v>
      </c>
      <c r="G91" s="378"/>
      <c r="H91" s="12">
        <f t="shared" si="76"/>
        <v>7.9999999999999988E-2</v>
      </c>
    </row>
    <row r="92" spans="2:8" x14ac:dyDescent="0.2">
      <c r="C92" s="376"/>
      <c r="D92" s="227" t="s">
        <v>297</v>
      </c>
      <c r="E92" s="218">
        <v>4.3128000000000002</v>
      </c>
      <c r="F92" s="225">
        <f t="shared" si="34"/>
        <v>77.630400000000009</v>
      </c>
      <c r="G92" s="355"/>
      <c r="H92" s="12">
        <f>F92/G90</f>
        <v>0.8</v>
      </c>
    </row>
  </sheetData>
  <mergeCells count="99">
    <mergeCell ref="B86:B87"/>
    <mergeCell ref="C86:C87"/>
    <mergeCell ref="G86:G87"/>
    <mergeCell ref="B88:B89"/>
    <mergeCell ref="C88:C89"/>
    <mergeCell ref="G88:G89"/>
    <mergeCell ref="C82:C83"/>
    <mergeCell ref="G82:G83"/>
    <mergeCell ref="C84:C85"/>
    <mergeCell ref="G84:G85"/>
    <mergeCell ref="C90:C92"/>
    <mergeCell ref="G90:G92"/>
    <mergeCell ref="C66:C67"/>
    <mergeCell ref="G66:G67"/>
    <mergeCell ref="C68:C69"/>
    <mergeCell ref="G68:G69"/>
    <mergeCell ref="B76:B85"/>
    <mergeCell ref="C76:C77"/>
    <mergeCell ref="G76:G77"/>
    <mergeCell ref="C78:C79"/>
    <mergeCell ref="G78:G79"/>
    <mergeCell ref="C72:C73"/>
    <mergeCell ref="G72:G73"/>
    <mergeCell ref="B74:B75"/>
    <mergeCell ref="C74:C75"/>
    <mergeCell ref="G74:G75"/>
    <mergeCell ref="C80:C81"/>
    <mergeCell ref="G80:G81"/>
    <mergeCell ref="B54:B55"/>
    <mergeCell ref="C54:C55"/>
    <mergeCell ref="G54:G55"/>
    <mergeCell ref="C70:C71"/>
    <mergeCell ref="G70:G71"/>
    <mergeCell ref="B56:B67"/>
    <mergeCell ref="C56:C57"/>
    <mergeCell ref="G56:G57"/>
    <mergeCell ref="C58:C59"/>
    <mergeCell ref="G58:G59"/>
    <mergeCell ref="C60:C61"/>
    <mergeCell ref="G60:G61"/>
    <mergeCell ref="C62:C63"/>
    <mergeCell ref="G62:G63"/>
    <mergeCell ref="C64:C65"/>
    <mergeCell ref="G64:G65"/>
    <mergeCell ref="B42:B53"/>
    <mergeCell ref="C42:C43"/>
    <mergeCell ref="G42:G43"/>
    <mergeCell ref="C44:C45"/>
    <mergeCell ref="G44:G45"/>
    <mergeCell ref="C46:C47"/>
    <mergeCell ref="G46:G47"/>
    <mergeCell ref="C48:C49"/>
    <mergeCell ref="G48:G49"/>
    <mergeCell ref="C50:C51"/>
    <mergeCell ref="G50:G51"/>
    <mergeCell ref="C52:C53"/>
    <mergeCell ref="G52:G53"/>
    <mergeCell ref="B36:B41"/>
    <mergeCell ref="C36:C37"/>
    <mergeCell ref="G36:G37"/>
    <mergeCell ref="C38:C39"/>
    <mergeCell ref="G38:G39"/>
    <mergeCell ref="C40:C41"/>
    <mergeCell ref="G40:G41"/>
    <mergeCell ref="G32:G33"/>
    <mergeCell ref="C34:C35"/>
    <mergeCell ref="G34:G35"/>
    <mergeCell ref="C30:C31"/>
    <mergeCell ref="G30:G31"/>
    <mergeCell ref="B16:B35"/>
    <mergeCell ref="C16:C17"/>
    <mergeCell ref="G16:G17"/>
    <mergeCell ref="C18:C19"/>
    <mergeCell ref="G18:G19"/>
    <mergeCell ref="C20:C21"/>
    <mergeCell ref="G20:G21"/>
    <mergeCell ref="C22:C23"/>
    <mergeCell ref="G22:G23"/>
    <mergeCell ref="C24:C25"/>
    <mergeCell ref="G24:G25"/>
    <mergeCell ref="C26:C27"/>
    <mergeCell ref="G26:G27"/>
    <mergeCell ref="C28:C29"/>
    <mergeCell ref="G28:G29"/>
    <mergeCell ref="C32:C33"/>
    <mergeCell ref="B10:B15"/>
    <mergeCell ref="C10:C11"/>
    <mergeCell ref="G10:G11"/>
    <mergeCell ref="C12:C13"/>
    <mergeCell ref="G12:G13"/>
    <mergeCell ref="C14:C15"/>
    <mergeCell ref="G14:G15"/>
    <mergeCell ref="B4:B9"/>
    <mergeCell ref="C4:C5"/>
    <mergeCell ref="G4:G5"/>
    <mergeCell ref="C6:C7"/>
    <mergeCell ref="G6:G7"/>
    <mergeCell ref="C8:C9"/>
    <mergeCell ref="G8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7"/>
  <sheetViews>
    <sheetView workbookViewId="0">
      <selection activeCell="F23" sqref="F23"/>
    </sheetView>
  </sheetViews>
  <sheetFormatPr defaultRowHeight="15" x14ac:dyDescent="0.2"/>
  <cols>
    <col min="4" max="4" width="11.8359375" customWidth="1"/>
    <col min="8" max="8" width="11.703125" customWidth="1"/>
  </cols>
  <sheetData>
    <row r="1" spans="1:12" ht="22.5" customHeight="1" thickBot="1" x14ac:dyDescent="0.25"/>
    <row r="2" spans="1:12" ht="7.5" customHeight="1" thickBot="1" x14ac:dyDescent="0.25">
      <c r="G2" s="391">
        <v>1520</v>
      </c>
      <c r="H2" s="388">
        <v>80</v>
      </c>
      <c r="J2" s="383">
        <v>80</v>
      </c>
      <c r="L2" s="383" t="s">
        <v>298</v>
      </c>
    </row>
    <row r="3" spans="1:12" ht="15.75" thickBot="1" x14ac:dyDescent="0.25">
      <c r="A3" s="391">
        <v>1500</v>
      </c>
      <c r="B3" s="386">
        <v>240</v>
      </c>
      <c r="D3" s="233">
        <v>60</v>
      </c>
      <c r="F3" s="231">
        <v>120</v>
      </c>
      <c r="G3" s="392"/>
      <c r="H3" s="389"/>
      <c r="J3" s="385"/>
      <c r="L3" s="384"/>
    </row>
    <row r="4" spans="1:12" ht="15.75" thickBot="1" x14ac:dyDescent="0.25">
      <c r="A4" s="392"/>
      <c r="B4" s="387"/>
      <c r="D4" s="388">
        <v>240</v>
      </c>
      <c r="F4" s="383">
        <v>180</v>
      </c>
      <c r="G4" s="392"/>
      <c r="H4" s="388">
        <v>240</v>
      </c>
      <c r="J4" s="231">
        <v>120</v>
      </c>
      <c r="L4" s="384"/>
    </row>
    <row r="5" spans="1:12" ht="15.75" thickBot="1" x14ac:dyDescent="0.25">
      <c r="A5" s="392"/>
      <c r="B5" s="386">
        <v>240</v>
      </c>
      <c r="D5" s="389"/>
      <c r="F5" s="385"/>
      <c r="G5" s="392"/>
      <c r="H5" s="389"/>
      <c r="J5" s="232">
        <v>120</v>
      </c>
      <c r="L5" s="385"/>
    </row>
    <row r="6" spans="1:12" ht="15.75" thickBot="1" x14ac:dyDescent="0.25">
      <c r="A6" s="392"/>
      <c r="B6" s="387"/>
      <c r="D6" s="390">
        <v>240</v>
      </c>
      <c r="F6" s="384">
        <v>240</v>
      </c>
      <c r="G6" s="392"/>
      <c r="H6" s="390">
        <v>240</v>
      </c>
      <c r="J6" s="384">
        <v>240</v>
      </c>
      <c r="L6" s="384">
        <v>240</v>
      </c>
    </row>
    <row r="7" spans="1:12" ht="15" customHeight="1" thickBot="1" x14ac:dyDescent="0.25">
      <c r="A7" s="392"/>
      <c r="B7" s="386">
        <v>240</v>
      </c>
      <c r="D7" s="389"/>
      <c r="F7" s="385"/>
      <c r="G7" s="392"/>
      <c r="H7" s="389"/>
      <c r="J7" s="385"/>
      <c r="L7" s="385"/>
    </row>
    <row r="8" spans="1:12" ht="15.75" customHeight="1" thickBot="1" x14ac:dyDescent="0.25">
      <c r="A8" s="392"/>
      <c r="B8" s="387"/>
      <c r="D8" s="390">
        <v>240</v>
      </c>
      <c r="F8" s="384">
        <v>240</v>
      </c>
      <c r="G8" s="392"/>
      <c r="H8" s="390">
        <v>240</v>
      </c>
      <c r="J8" s="384">
        <v>240</v>
      </c>
      <c r="L8" s="384">
        <v>240</v>
      </c>
    </row>
    <row r="9" spans="1:12" ht="15" customHeight="1" thickBot="1" x14ac:dyDescent="0.25">
      <c r="A9" s="392"/>
      <c r="B9" s="386">
        <v>240</v>
      </c>
      <c r="D9" s="390"/>
      <c r="F9" s="384"/>
      <c r="G9" s="392"/>
      <c r="H9" s="390"/>
      <c r="J9" s="384"/>
      <c r="L9" s="384"/>
    </row>
    <row r="10" spans="1:12" ht="15.75" customHeight="1" thickBot="1" x14ac:dyDescent="0.25">
      <c r="A10" s="392"/>
      <c r="B10" s="387"/>
      <c r="D10" s="388">
        <v>240</v>
      </c>
      <c r="F10" s="383">
        <v>240</v>
      </c>
      <c r="G10" s="392"/>
      <c r="H10" s="388">
        <v>240</v>
      </c>
      <c r="J10" s="383">
        <v>240</v>
      </c>
      <c r="L10" s="383">
        <v>240</v>
      </c>
    </row>
    <row r="11" spans="1:12" ht="15" customHeight="1" thickBot="1" x14ac:dyDescent="0.25">
      <c r="A11" s="392"/>
      <c r="B11" s="386">
        <v>240</v>
      </c>
      <c r="D11" s="389"/>
      <c r="F11" s="385"/>
      <c r="G11" s="392"/>
      <c r="H11" s="389"/>
      <c r="J11" s="385"/>
      <c r="L11" s="385"/>
    </row>
    <row r="12" spans="1:12" ht="15.75" customHeight="1" thickBot="1" x14ac:dyDescent="0.25">
      <c r="A12" s="392"/>
      <c r="B12" s="387"/>
      <c r="D12" s="390">
        <v>240</v>
      </c>
      <c r="F12" s="384">
        <v>240</v>
      </c>
      <c r="G12" s="392"/>
      <c r="H12" s="390">
        <v>240</v>
      </c>
      <c r="J12" s="384">
        <v>240</v>
      </c>
      <c r="L12" s="384">
        <v>240</v>
      </c>
    </row>
    <row r="13" spans="1:12" ht="15.75" thickBot="1" x14ac:dyDescent="0.25">
      <c r="A13" s="392"/>
      <c r="B13" s="383">
        <v>300</v>
      </c>
      <c r="D13" s="390"/>
      <c r="F13" s="384"/>
      <c r="G13" s="392"/>
      <c r="H13" s="390"/>
      <c r="J13" s="384"/>
      <c r="L13" s="384"/>
    </row>
    <row r="14" spans="1:12" x14ac:dyDescent="0.2">
      <c r="A14" s="392"/>
      <c r="B14" s="384"/>
      <c r="D14" s="388">
        <v>240</v>
      </c>
      <c r="F14" s="383">
        <v>240</v>
      </c>
      <c r="G14" s="392"/>
      <c r="H14" s="388">
        <v>240</v>
      </c>
      <c r="J14" s="383">
        <v>240</v>
      </c>
      <c r="L14" s="383">
        <v>240</v>
      </c>
    </row>
    <row r="15" spans="1:12" ht="15.75" thickBot="1" x14ac:dyDescent="0.25">
      <c r="A15" s="393"/>
      <c r="B15" s="385"/>
      <c r="D15" s="389"/>
      <c r="F15" s="385"/>
      <c r="G15" s="393"/>
      <c r="H15" s="389"/>
      <c r="J15" s="385"/>
      <c r="L15" s="385"/>
    </row>
    <row r="17" spans="4:8" ht="24.75" customHeight="1" x14ac:dyDescent="0.2">
      <c r="D17" s="234" t="s">
        <v>299</v>
      </c>
      <c r="H17" s="234" t="s">
        <v>299</v>
      </c>
    </row>
  </sheetData>
  <mergeCells count="39">
    <mergeCell ref="L2:L5"/>
    <mergeCell ref="A3:A15"/>
    <mergeCell ref="G2:G15"/>
    <mergeCell ref="F12:F13"/>
    <mergeCell ref="F14:F15"/>
    <mergeCell ref="L6:L7"/>
    <mergeCell ref="L8:L9"/>
    <mergeCell ref="L10:L11"/>
    <mergeCell ref="L12:L13"/>
    <mergeCell ref="L14:L15"/>
    <mergeCell ref="H2:H3"/>
    <mergeCell ref="J2:J3"/>
    <mergeCell ref="F4:F5"/>
    <mergeCell ref="F6:F7"/>
    <mergeCell ref="F8:F9"/>
    <mergeCell ref="F10:F11"/>
    <mergeCell ref="J6:J7"/>
    <mergeCell ref="J8:J9"/>
    <mergeCell ref="J10:J11"/>
    <mergeCell ref="J12:J13"/>
    <mergeCell ref="J14:J15"/>
    <mergeCell ref="H14:H15"/>
    <mergeCell ref="D14:D15"/>
    <mergeCell ref="D4:D5"/>
    <mergeCell ref="D6:D7"/>
    <mergeCell ref="D8:D9"/>
    <mergeCell ref="D10:D11"/>
    <mergeCell ref="D12:D13"/>
    <mergeCell ref="H4:H5"/>
    <mergeCell ref="H6:H7"/>
    <mergeCell ref="H8:H9"/>
    <mergeCell ref="H10:H11"/>
    <mergeCell ref="H12:H13"/>
    <mergeCell ref="B13:B15"/>
    <mergeCell ref="B3:B4"/>
    <mergeCell ref="B5:B6"/>
    <mergeCell ref="B7:B8"/>
    <mergeCell ref="B9:B10"/>
    <mergeCell ref="B11:B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Карта резки</vt:lpstr>
      <vt:lpstr>Накладная</vt:lpstr>
      <vt:lpstr>Поддон</vt:lpstr>
      <vt:lpstr>Лист2</vt:lpstr>
      <vt:lpstr>Лист3</vt:lpstr>
    </vt:vector>
  </TitlesOfParts>
  <Company>SanBuild &amp; 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Мастер &lt;БЛОК&gt;</dc:creator>
  <cp:lastModifiedBy>Черныш Елена Анатольевна</cp:lastModifiedBy>
  <cp:revision/>
  <cp:lastPrinted>2020-08-28T09:57:00Z</cp:lastPrinted>
  <dcterms:created xsi:type="dcterms:W3CDTF">2015-07-02T12:50:09Z</dcterms:created>
  <dcterms:modified xsi:type="dcterms:W3CDTF">2022-04-14T11:38:50Z</dcterms:modified>
</cp:coreProperties>
</file>